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G:\006 Ny registreringsafgift\Regnemaskiner\Til offentliggørelse\"/>
    </mc:Choice>
  </mc:AlternateContent>
  <xr:revisionPtr revIDLastSave="0" documentId="13_ncr:1_{87D1E0A7-015B-46AF-86C7-458741FC01E0}" xr6:coauthVersionLast="45" xr6:coauthVersionMax="45" xr10:uidLastSave="{00000000-0000-0000-0000-000000000000}"/>
  <bookViews>
    <workbookView xWindow="57480" yWindow="-120" windowWidth="29040" windowHeight="15840" xr2:uid="{00000000-000D-0000-FFFF-FFFF00000000}"/>
  </bookViews>
  <sheets>
    <sheet name="Personbiler" sheetId="6" r:id="rId1"/>
    <sheet name="Varebiler" sheetId="8" r:id="rId2"/>
    <sheet name="Motorcykler" sheetId="9" r:id="rId3"/>
    <sheet name="Autocamper" sheetId="10" r:id="rId4"/>
    <sheet name="Veteranbiler" sheetId="12" r:id="rId5"/>
    <sheet name="Veteranmotorcykler" sheetId="1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3" l="1"/>
  <c r="B15" i="13"/>
  <c r="C14" i="13"/>
  <c r="C13" i="13"/>
  <c r="C16" i="13" s="1"/>
  <c r="C18" i="13" s="1"/>
  <c r="C20" i="13" s="1"/>
  <c r="C19" i="13" s="1"/>
  <c r="B13" i="13"/>
  <c r="B16" i="13" s="1"/>
  <c r="B18" i="13" s="1"/>
  <c r="D12" i="13"/>
  <c r="C11" i="13"/>
  <c r="B11" i="13"/>
  <c r="B14" i="13" s="1"/>
  <c r="C14" i="12"/>
  <c r="C11" i="12"/>
  <c r="C15" i="12" s="1"/>
  <c r="B11" i="12"/>
  <c r="B14" i="12" s="1"/>
  <c r="B13" i="12" l="1"/>
  <c r="B15" i="12"/>
  <c r="C13" i="12"/>
  <c r="C16" i="12" s="1"/>
  <c r="C18" i="12" s="1"/>
  <c r="C20" i="12" s="1"/>
  <c r="C19" i="12" s="1"/>
  <c r="B20" i="8"/>
  <c r="C20" i="8"/>
  <c r="B9" i="10"/>
  <c r="C19" i="10" s="1"/>
  <c r="B16" i="12" l="1"/>
  <c r="B18" i="12" s="1"/>
  <c r="B19" i="10"/>
  <c r="B20" i="10" s="1"/>
  <c r="C20" i="10"/>
  <c r="C21" i="9" l="1"/>
  <c r="B21" i="9"/>
  <c r="C22" i="9" l="1"/>
  <c r="A33" i="10"/>
  <c r="A34" i="8"/>
  <c r="A35" i="6"/>
  <c r="B28" i="10" l="1"/>
  <c r="C36" i="10"/>
  <c r="B36" i="10"/>
  <c r="B24" i="10"/>
  <c r="B23" i="10" l="1"/>
  <c r="B22" i="10"/>
  <c r="B29" i="10"/>
  <c r="B25" i="10" l="1"/>
  <c r="B31" i="10" s="1"/>
  <c r="B32" i="10" s="1"/>
  <c r="B33" i="10" s="1"/>
  <c r="B34" i="10" l="1"/>
  <c r="B35" i="10" s="1"/>
  <c r="C14" i="9" l="1"/>
  <c r="B28" i="8" l="1"/>
  <c r="B14" i="9"/>
  <c r="B18" i="9" l="1"/>
  <c r="B17" i="9"/>
  <c r="B16" i="9"/>
  <c r="B19" i="9" l="1"/>
  <c r="B22" i="9"/>
  <c r="B23" i="9" s="1"/>
  <c r="B25" i="9" s="1"/>
  <c r="C16" i="9" l="1"/>
  <c r="C18" i="9"/>
  <c r="C17" i="9"/>
  <c r="B29" i="8"/>
  <c r="B9" i="8"/>
  <c r="C19" i="9" l="1"/>
  <c r="C23" i="9" s="1"/>
  <c r="C25" i="9" s="1"/>
  <c r="C24" i="9" s="1"/>
  <c r="D23" i="9" s="1"/>
  <c r="C21" i="8"/>
  <c r="B21" i="8"/>
  <c r="B23" i="8" l="1"/>
  <c r="B24" i="8"/>
  <c r="B25" i="8" l="1"/>
  <c r="B31" i="8" s="1"/>
  <c r="B32" i="8" s="1"/>
  <c r="B33" i="8" s="1"/>
  <c r="B34" i="8" s="1"/>
  <c r="B35" i="8" l="1"/>
  <c r="B36" i="8" s="1"/>
  <c r="B38" i="8" s="1"/>
  <c r="C28" i="8" l="1"/>
  <c r="C29" i="8" s="1"/>
  <c r="C24" i="8"/>
  <c r="C23" i="8"/>
  <c r="C25" i="8" l="1"/>
  <c r="C31" i="8" s="1"/>
  <c r="B29" i="6"/>
  <c r="B28" i="6"/>
  <c r="B27" i="6"/>
  <c r="C32" i="8" l="1"/>
  <c r="C33" i="8" s="1"/>
  <c r="C34" i="8" s="1"/>
  <c r="B30" i="6"/>
  <c r="B9" i="6"/>
  <c r="C35" i="8" l="1"/>
  <c r="C36" i="8" s="1"/>
  <c r="C38" i="8" s="1"/>
  <c r="C37" i="8" s="1"/>
  <c r="D36" i="8" s="1"/>
  <c r="B18" i="6"/>
  <c r="C18" i="6"/>
  <c r="C19" i="6" s="1"/>
  <c r="B19" i="6" l="1"/>
  <c r="B22" i="6" l="1"/>
  <c r="B21" i="6"/>
  <c r="B23" i="6"/>
  <c r="B24" i="6" l="1"/>
  <c r="B32" i="6" l="1"/>
  <c r="B33" i="6" s="1"/>
  <c r="B34" i="6" l="1"/>
  <c r="B35" i="6" s="1"/>
  <c r="B36" i="6" s="1"/>
  <c r="B37" i="6" s="1"/>
  <c r="B39" i="6" s="1"/>
  <c r="C27" i="6" l="1"/>
  <c r="C22" i="6" l="1"/>
  <c r="C28" i="6"/>
  <c r="C23" i="6"/>
  <c r="C21" i="6"/>
  <c r="C29" i="6"/>
  <c r="C30" i="6" l="1"/>
  <c r="C24" i="6"/>
  <c r="C32" i="6" l="1"/>
  <c r="C33" i="6" s="1"/>
  <c r="C34" i="6" s="1"/>
  <c r="C35" i="6" s="1"/>
  <c r="C36" i="6" s="1"/>
  <c r="C37" i="6" s="1"/>
  <c r="C39" i="6" s="1"/>
  <c r="C38" i="6" l="1"/>
  <c r="D37" i="6" s="1"/>
  <c r="B37" i="10"/>
  <c r="B39" i="10" s="1"/>
  <c r="C14" i="10" l="1"/>
  <c r="C13" i="10"/>
  <c r="C28" i="10" s="1"/>
  <c r="C29" i="10" s="1"/>
  <c r="C24" i="10" l="1"/>
  <c r="C23" i="10"/>
  <c r="C22" i="10"/>
  <c r="C25" i="10" l="1"/>
  <c r="C31" i="10" s="1"/>
  <c r="C32" i="10" s="1"/>
  <c r="C33" i="10" s="1"/>
  <c r="C34" i="10" l="1"/>
  <c r="C35" i="10" s="1"/>
  <c r="C37" i="10" s="1"/>
  <c r="C39" i="10" s="1"/>
  <c r="C38" i="10" s="1"/>
  <c r="D37" i="10" s="1"/>
</calcChain>
</file>

<file path=xl/sharedStrings.xml><?xml version="1.0" encoding="utf-8"?>
<sst xmlns="http://schemas.openxmlformats.org/spreadsheetml/2006/main" count="153" uniqueCount="54">
  <si>
    <t>Bundfradrag</t>
  </si>
  <si>
    <t>Batterikapacitetsfradrag</t>
  </si>
  <si>
    <t>Afgiftspligtig værdi</t>
  </si>
  <si>
    <t>Elektrisk forbrug</t>
  </si>
  <si>
    <t>Elektrisk rækkevidde</t>
  </si>
  <si>
    <t>Batterikapacitet</t>
  </si>
  <si>
    <t>Bruttoafgift</t>
  </si>
  <si>
    <t>Regulering til afgiften</t>
  </si>
  <si>
    <t>Registreringsafgift</t>
  </si>
  <si>
    <t>kWh</t>
  </si>
  <si>
    <t>CO2-emission</t>
  </si>
  <si>
    <t>Wh / km</t>
  </si>
  <si>
    <t>g / km</t>
  </si>
  <si>
    <t>Køretøj - tekniske oplysninger</t>
  </si>
  <si>
    <t>Regulering til afgiftspligtig værdi</t>
  </si>
  <si>
    <t>Ekstra bundfradrag</t>
  </si>
  <si>
    <t>Handelspris</t>
  </si>
  <si>
    <t>NYT</t>
  </si>
  <si>
    <t>BRUGT</t>
  </si>
  <si>
    <t>Bruttoafgiftspligtig værdi</t>
  </si>
  <si>
    <t>Afgift (25 %) af afgiftspligtig værdi op til 65.000</t>
  </si>
  <si>
    <t>Afgift (85 %) af afgiftspligtig værdi ml. 65.000 og 202.200</t>
  </si>
  <si>
    <t>Afgift (150 %) af afgiftspligtig værdi over 202.200</t>
  </si>
  <si>
    <t>Nypris</t>
  </si>
  <si>
    <t>Målsøgning til brug for brugte</t>
  </si>
  <si>
    <t>CO2-udslip (WLTP-målt)</t>
  </si>
  <si>
    <t>ENDELIG REGISTRERINGSAFGIFT</t>
  </si>
  <si>
    <t>Køretøjets pris inkl. registreringsafgift</t>
  </si>
  <si>
    <t>km</t>
  </si>
  <si>
    <t>Totalvægt</t>
  </si>
  <si>
    <t>kg</t>
  </si>
  <si>
    <t>Åben, eller uden sideruder bag førersædet?</t>
  </si>
  <si>
    <t>El-drevet motorcykel?</t>
  </si>
  <si>
    <t>Nej</t>
  </si>
  <si>
    <t>Afgift (0 %) af afgiftspligtig værdi op til 75.000</t>
  </si>
  <si>
    <t>Afgift (50 %) af afgiftspligtig værdi over 75.000</t>
  </si>
  <si>
    <t>Afgift (25 %) af afgiftspligtig værdi op til 20.000</t>
  </si>
  <si>
    <t>Afgift (85 %) af afgiftspligtig værdi ml. 20.000 og 68.000</t>
  </si>
  <si>
    <t>Afgift (150 %) af afgiftspligtig værdi over 68.000</t>
  </si>
  <si>
    <t>Prisoplysninger</t>
  </si>
  <si>
    <t>Registreringsafgift før evt. indfasning</t>
  </si>
  <si>
    <t>Bilens pris før registreringsafgift</t>
  </si>
  <si>
    <t>Værdi af beboelsesdel</t>
  </si>
  <si>
    <t>Registreringsafgift, § 5a, stk. 2, 2. pkt.</t>
  </si>
  <si>
    <t>Registreringsafgift, § 5a, stk. 2, 3. pkt.</t>
  </si>
  <si>
    <t>Handelspris inkl. registreringsafgift</t>
  </si>
  <si>
    <r>
      <t>CO2</t>
    </r>
    <r>
      <rPr>
        <sz val="11"/>
        <color rgb="FF000000"/>
        <rFont val="Arial"/>
        <family val="2"/>
      </rPr>
      <t>-tillæg 1 (250 kr. af op til og med 125 g.)</t>
    </r>
  </si>
  <si>
    <r>
      <t>CO2</t>
    </r>
    <r>
      <rPr>
        <sz val="11"/>
        <color rgb="FF000000"/>
        <rFont val="Arial"/>
        <family val="2"/>
      </rPr>
      <t>-tillæg 2</t>
    </r>
    <r>
      <rPr>
        <sz val="11"/>
        <color theme="1"/>
        <rFont val="Arial"/>
        <family val="2"/>
      </rPr>
      <t xml:space="preserve"> (500 kr. udledning mellem 126 og 160 g.)</t>
    </r>
  </si>
  <si>
    <r>
      <t>CO2</t>
    </r>
    <r>
      <rPr>
        <sz val="11"/>
        <color rgb="FF000000"/>
        <rFont val="Arial"/>
        <family val="2"/>
      </rPr>
      <t>-tillæg 3</t>
    </r>
    <r>
      <rPr>
        <sz val="11"/>
        <color theme="1"/>
        <rFont val="Arial"/>
        <family val="2"/>
      </rPr>
      <t xml:space="preserve"> (950 kr. af udledning over 160 g.)</t>
    </r>
  </si>
  <si>
    <r>
      <t>CO2</t>
    </r>
    <r>
      <rPr>
        <b/>
        <sz val="11"/>
        <color rgb="FF000000"/>
        <rFont val="Arial"/>
        <family val="2"/>
      </rPr>
      <t>-tillæg</t>
    </r>
  </si>
  <si>
    <r>
      <t>CO2</t>
    </r>
    <r>
      <rPr>
        <sz val="11"/>
        <color rgb="FF000000"/>
        <rFont val="Arial"/>
        <family val="2"/>
      </rPr>
      <t>-tillæg</t>
    </r>
  </si>
  <si>
    <t>Afgiftspligtig værdi som nyt</t>
  </si>
  <si>
    <t>For veteranbiler beregnes registreringsafgiften enten ud fra 75 % af bilens oprindelige afgiftspligtige værdi som ny, eller ud fra bilens aktuelle handelspris. Den registreringsafgift, der skal betales, vil være den laveste af de to beregnede registreringsafgifter (de grå markerede celler).</t>
  </si>
  <si>
    <t>For veteranmotorcykler beregnes registreringsafgiften enten ud fra 40 % af motorcyklens oprindelige afgiftspligtige værdi som ny, eller ud fra motorcyklens aktuelle handelspris. Den registreringsafgift, der skal betales, vil være den laveste af de to beregnede registreringsafgifter (de grå markerede celler).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</si>
</sst>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0.0%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B388"/>
        <bgColor indexed="64"/>
      </patternFill>
    </fill>
    <fill>
      <patternFill patternType="solid">
        <fgColor rgb="FFE8E2E1"/>
        <bgColor indexed="64"/>
      </patternFill>
    </fill>
    <fill>
      <patternFill patternType="solid">
        <fgColor rgb="FFA1A1B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166" fontId="4" fillId="0" borderId="0" xfId="2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3" fillId="0" borderId="0" xfId="1" applyNumberFormat="1" applyFont="1" applyBorder="1"/>
    <xf numFmtId="164" fontId="3" fillId="0" borderId="0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9" fontId="3" fillId="0" borderId="0" xfId="2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2" fillId="0" borderId="0" xfId="0" applyNumberFormat="1" applyFont="1"/>
    <xf numFmtId="0" fontId="3" fillId="0" borderId="0" xfId="0" applyFont="1" applyBorder="1" applyAlignment="1">
      <alignment horizontal="right"/>
    </xf>
    <xf numFmtId="0" fontId="5" fillId="0" borderId="0" xfId="0" applyFont="1"/>
    <xf numFmtId="0" fontId="6" fillId="0" borderId="0" xfId="0" applyFont="1" applyProtection="1"/>
    <xf numFmtId="3" fontId="6" fillId="0" borderId="0" xfId="0" applyNumberFormat="1" applyFont="1" applyProtection="1"/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164" fontId="6" fillId="0" borderId="0" xfId="1" applyNumberFormat="1" applyFont="1" applyBorder="1" applyProtection="1"/>
    <xf numFmtId="164" fontId="6" fillId="0" borderId="0" xfId="0" applyNumberFormat="1" applyFont="1" applyBorder="1" applyProtection="1"/>
    <xf numFmtId="9" fontId="6" fillId="0" borderId="0" xfId="0" applyNumberFormat="1" applyFont="1" applyBorder="1" applyProtection="1"/>
    <xf numFmtId="3" fontId="6" fillId="0" borderId="0" xfId="0" applyNumberFormat="1" applyFont="1" applyBorder="1" applyProtection="1"/>
    <xf numFmtId="0" fontId="6" fillId="0" borderId="0" xfId="0" applyFont="1" applyBorder="1" applyAlignment="1" applyProtection="1">
      <alignment horizontal="right"/>
    </xf>
    <xf numFmtId="9" fontId="6" fillId="0" borderId="0" xfId="2" applyFont="1" applyBorder="1" applyProtection="1"/>
    <xf numFmtId="166" fontId="8" fillId="0" borderId="0" xfId="2" applyNumberFormat="1" applyFon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6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Protection="1"/>
    <xf numFmtId="0" fontId="6" fillId="0" borderId="0" xfId="0" applyFont="1" applyBorder="1" applyAlignment="1" applyProtection="1">
      <alignment horizontal="left"/>
    </xf>
    <xf numFmtId="0" fontId="9" fillId="0" borderId="0" xfId="0" applyFont="1" applyProtection="1"/>
    <xf numFmtId="0" fontId="6" fillId="0" borderId="0" xfId="0" applyFont="1"/>
    <xf numFmtId="3" fontId="6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9" fontId="6" fillId="0" borderId="0" xfId="0" applyNumberFormat="1" applyFont="1" applyBorder="1"/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9" fontId="6" fillId="0" borderId="0" xfId="2" applyFont="1" applyBorder="1"/>
    <xf numFmtId="166" fontId="8" fillId="0" borderId="0" xfId="2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11" fillId="3" borderId="1" xfId="0" applyFont="1" applyFill="1" applyBorder="1" applyProtection="1"/>
    <xf numFmtId="3" fontId="11" fillId="2" borderId="1" xfId="0" applyNumberFormat="1" applyFont="1" applyFill="1" applyBorder="1" applyProtection="1">
      <protection locked="0"/>
    </xf>
    <xf numFmtId="165" fontId="11" fillId="3" borderId="1" xfId="0" applyNumberFormat="1" applyFont="1" applyFill="1" applyBorder="1" applyProtection="1"/>
    <xf numFmtId="0" fontId="11" fillId="0" borderId="0" xfId="0" applyFont="1" applyProtection="1"/>
    <xf numFmtId="3" fontId="11" fillId="0" borderId="0" xfId="0" applyNumberFormat="1" applyFont="1" applyProtection="1"/>
    <xf numFmtId="0" fontId="10" fillId="3" borderId="1" xfId="0" applyFont="1" applyFill="1" applyBorder="1" applyProtection="1"/>
    <xf numFmtId="3" fontId="10" fillId="3" borderId="1" xfId="0" applyNumberFormat="1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3" fontId="11" fillId="3" borderId="1" xfId="0" applyNumberFormat="1" applyFont="1" applyFill="1" applyBorder="1" applyProtection="1"/>
    <xf numFmtId="0" fontId="10" fillId="3" borderId="1" xfId="0" applyFont="1" applyFill="1" applyBorder="1" applyAlignment="1" applyProtection="1">
      <alignment wrapText="1"/>
    </xf>
    <xf numFmtId="3" fontId="10" fillId="2" borderId="1" xfId="0" applyNumberFormat="1" applyFont="1" applyFill="1" applyBorder="1" applyProtection="1">
      <protection locked="0"/>
    </xf>
    <xf numFmtId="3" fontId="10" fillId="3" borderId="1" xfId="0" applyNumberFormat="1" applyFont="1" applyFill="1" applyBorder="1" applyProtection="1">
      <protection locked="0"/>
    </xf>
    <xf numFmtId="3" fontId="10" fillId="3" borderId="1" xfId="1" applyNumberFormat="1" applyFont="1" applyFill="1" applyBorder="1" applyProtection="1"/>
    <xf numFmtId="3" fontId="10" fillId="3" borderId="1" xfId="0" applyNumberFormat="1" applyFont="1" applyFill="1" applyBorder="1" applyProtection="1"/>
    <xf numFmtId="3" fontId="10" fillId="3" borderId="1" xfId="0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11" fillId="3" borderId="1" xfId="0" applyFont="1" applyFill="1" applyBorder="1"/>
    <xf numFmtId="165" fontId="11" fillId="3" borderId="1" xfId="0" applyNumberFormat="1" applyFont="1" applyFill="1" applyBorder="1"/>
    <xf numFmtId="3" fontId="11" fillId="2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3" fontId="11" fillId="0" borderId="0" xfId="0" applyNumberFormat="1" applyFont="1"/>
    <xf numFmtId="0" fontId="10" fillId="3" borderId="1" xfId="0" applyFont="1" applyFill="1" applyBorder="1"/>
    <xf numFmtId="3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1" fillId="3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3" fontId="10" fillId="3" borderId="1" xfId="1" applyNumberFormat="1" applyFont="1" applyFill="1" applyBorder="1"/>
    <xf numFmtId="3" fontId="10" fillId="3" borderId="1" xfId="0" applyNumberFormat="1" applyFont="1" applyFill="1" applyBorder="1"/>
    <xf numFmtId="3" fontId="10" fillId="3" borderId="1" xfId="0" applyNumberFormat="1" applyFont="1" applyFill="1" applyBorder="1" applyAlignment="1">
      <alignment horizontal="right"/>
    </xf>
    <xf numFmtId="3" fontId="10" fillId="4" borderId="1" xfId="0" applyNumberFormat="1" applyFont="1" applyFill="1" applyBorder="1"/>
    <xf numFmtId="0" fontId="11" fillId="3" borderId="1" xfId="0" applyFont="1" applyFill="1" applyBorder="1" applyAlignment="1">
      <alignment wrapText="1"/>
    </xf>
    <xf numFmtId="3" fontId="10" fillId="4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Protection="1">
      <protection locked="0"/>
    </xf>
    <xf numFmtId="0" fontId="10" fillId="3" borderId="1" xfId="0" applyFont="1" applyFill="1" applyBorder="1" applyAlignment="1">
      <alignment horizontal="center"/>
    </xf>
    <xf numFmtId="167" fontId="11" fillId="3" borderId="1" xfId="0" applyNumberFormat="1" applyFont="1" applyFill="1" applyBorder="1"/>
    <xf numFmtId="0" fontId="10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>
      <alignment horizontal="center"/>
    </xf>
    <xf numFmtId="0" fontId="9" fillId="0" borderId="0" xfId="0" applyFont="1"/>
    <xf numFmtId="0" fontId="14" fillId="3" borderId="2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9" fontId="3" fillId="0" borderId="0" xfId="0" applyNumberFormat="1" applyFont="1"/>
  </cellXfs>
  <cellStyles count="3">
    <cellStyle name="Komma" xfId="1" builtinId="3"/>
    <cellStyle name="Normal" xfId="0" builtinId="0"/>
    <cellStyle name="Procent" xfId="2" builtinId="5"/>
  </cellStyles>
  <dxfs count="8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B388"/>
      <color rgb="FFE8E2E1"/>
      <color rgb="FFA1A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710051</xdr:colOff>
      <xdr:row>1</xdr:row>
      <xdr:rowOff>75594</xdr:rowOff>
    </xdr:from>
    <xdr:to>
      <xdr:col>3</xdr:col>
      <xdr:colOff>4716</xdr:colOff>
      <xdr:row>3</xdr:row>
      <xdr:rowOff>147168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2538981-F294-4852-99FA-D57CB5521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776" y="237519"/>
          <a:ext cx="1390165" cy="395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</xdr:row>
      <xdr:rowOff>66675</xdr:rowOff>
    </xdr:from>
    <xdr:to>
      <xdr:col>3</xdr:col>
      <xdr:colOff>5193</xdr:colOff>
      <xdr:row>3</xdr:row>
      <xdr:rowOff>136300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61CDE4E-5F0D-4FB9-A5E8-D6CA37E84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228600"/>
          <a:ext cx="1405368" cy="39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</xdr:row>
      <xdr:rowOff>57150</xdr:rowOff>
    </xdr:from>
    <xdr:to>
      <xdr:col>2</xdr:col>
      <xdr:colOff>1043418</xdr:colOff>
      <xdr:row>3</xdr:row>
      <xdr:rowOff>126775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A20797E-AEB6-40B9-AD29-FBF8F659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219075"/>
          <a:ext cx="1405368" cy="39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</xdr:row>
      <xdr:rowOff>57150</xdr:rowOff>
    </xdr:from>
    <xdr:to>
      <xdr:col>3</xdr:col>
      <xdr:colOff>5193</xdr:colOff>
      <xdr:row>3</xdr:row>
      <xdr:rowOff>126775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EEFB9C9-F102-4738-B4A5-DFA3594A5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219075"/>
          <a:ext cx="1405368" cy="39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710051</xdr:colOff>
      <xdr:row>1</xdr:row>
      <xdr:rowOff>75594</xdr:rowOff>
    </xdr:from>
    <xdr:to>
      <xdr:col>3</xdr:col>
      <xdr:colOff>4716</xdr:colOff>
      <xdr:row>3</xdr:row>
      <xdr:rowOff>147168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C0FD172-2CA1-42AC-AB9A-B2329700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776" y="237519"/>
          <a:ext cx="1390165" cy="3954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705893</xdr:colOff>
      <xdr:row>1</xdr:row>
      <xdr:rowOff>67718</xdr:rowOff>
    </xdr:from>
    <xdr:to>
      <xdr:col>3</xdr:col>
      <xdr:colOff>7664</xdr:colOff>
      <xdr:row>3</xdr:row>
      <xdr:rowOff>137387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D839910-44C8-4D65-BFF6-F11368175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618" y="229643"/>
          <a:ext cx="1397271" cy="3935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regningsskema-med-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biler"/>
      <sheetName val="Varebiler"/>
      <sheetName val="Motorcykler"/>
      <sheetName val="Autocamper"/>
      <sheetName val="Veteranbiler"/>
      <sheetName val="Veteranmotorcykler"/>
    </sheetNames>
    <definedNames>
      <definedName name="Veteran"/>
      <definedName name="VeteranMC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5:H39"/>
  <sheetViews>
    <sheetView showGridLines="0" tabSelected="1" zoomScaleNormal="100" workbookViewId="0"/>
  </sheetViews>
  <sheetFormatPr defaultRowHeight="12.75" x14ac:dyDescent="0.2"/>
  <cols>
    <col min="1" max="1" width="52.7109375" style="19" customWidth="1"/>
    <col min="2" max="2" width="15.7109375" style="20" customWidth="1"/>
    <col min="3" max="3" width="15.7109375" style="19" customWidth="1"/>
    <col min="4" max="8" width="9.140625" style="19" customWidth="1"/>
    <col min="9" max="16384" width="9.140625" style="19"/>
  </cols>
  <sheetData>
    <row r="5" spans="1:8" ht="15" x14ac:dyDescent="0.25">
      <c r="A5" s="85" t="s">
        <v>13</v>
      </c>
      <c r="B5" s="85"/>
      <c r="C5" s="85"/>
      <c r="E5" s="21"/>
      <c r="F5" s="22"/>
      <c r="G5" s="22"/>
      <c r="H5" s="23"/>
    </row>
    <row r="6" spans="1:8" ht="14.25" x14ac:dyDescent="0.2">
      <c r="A6" s="50" t="s">
        <v>25</v>
      </c>
      <c r="B6" s="51">
        <v>0</v>
      </c>
      <c r="C6" s="50" t="s">
        <v>12</v>
      </c>
      <c r="E6" s="23"/>
      <c r="F6" s="24"/>
      <c r="G6" s="25"/>
      <c r="H6" s="23"/>
    </row>
    <row r="7" spans="1:8" ht="14.25" x14ac:dyDescent="0.2">
      <c r="A7" s="50" t="s">
        <v>3</v>
      </c>
      <c r="B7" s="51">
        <v>0</v>
      </c>
      <c r="C7" s="50" t="s">
        <v>11</v>
      </c>
      <c r="E7" s="23"/>
      <c r="F7" s="26"/>
      <c r="G7" s="26"/>
      <c r="H7" s="23"/>
    </row>
    <row r="8" spans="1:8" ht="14.25" x14ac:dyDescent="0.2">
      <c r="A8" s="50" t="s">
        <v>4</v>
      </c>
      <c r="B8" s="51">
        <v>0</v>
      </c>
      <c r="C8" s="50" t="s">
        <v>28</v>
      </c>
      <c r="E8" s="23"/>
      <c r="F8" s="26"/>
      <c r="G8" s="26"/>
      <c r="H8" s="23"/>
    </row>
    <row r="9" spans="1:8" ht="14.25" x14ac:dyDescent="0.2">
      <c r="A9" s="50" t="s">
        <v>5</v>
      </c>
      <c r="B9" s="52">
        <f>B7/1000*B8</f>
        <v>0</v>
      </c>
      <c r="C9" s="50" t="s">
        <v>9</v>
      </c>
      <c r="E9" s="23"/>
      <c r="F9" s="26"/>
      <c r="G9" s="26"/>
      <c r="H9" s="23"/>
    </row>
    <row r="10" spans="1:8" ht="14.25" x14ac:dyDescent="0.2">
      <c r="A10" s="53"/>
      <c r="B10" s="54"/>
      <c r="C10" s="53"/>
      <c r="E10" s="23"/>
      <c r="F10" s="27"/>
      <c r="G10" s="27"/>
      <c r="H10" s="23"/>
    </row>
    <row r="11" spans="1:8" ht="15" x14ac:dyDescent="0.25">
      <c r="A11" s="85" t="s">
        <v>8</v>
      </c>
      <c r="B11" s="85"/>
      <c r="C11" s="85"/>
      <c r="E11" s="23"/>
      <c r="F11" s="27"/>
      <c r="G11" s="27"/>
      <c r="H11" s="23"/>
    </row>
    <row r="12" spans="1:8" ht="15" x14ac:dyDescent="0.25">
      <c r="A12" s="55" t="s">
        <v>39</v>
      </c>
      <c r="B12" s="56" t="s">
        <v>17</v>
      </c>
      <c r="C12" s="57" t="s">
        <v>18</v>
      </c>
      <c r="E12" s="23"/>
      <c r="F12" s="27"/>
      <c r="G12" s="27"/>
      <c r="H12" s="23"/>
    </row>
    <row r="13" spans="1:8" ht="14.25" x14ac:dyDescent="0.2">
      <c r="A13" s="50" t="s">
        <v>16</v>
      </c>
      <c r="B13" s="58"/>
      <c r="C13" s="51">
        <v>0</v>
      </c>
      <c r="E13" s="23"/>
      <c r="F13" s="27"/>
      <c r="G13" s="28"/>
      <c r="H13" s="23"/>
    </row>
    <row r="14" spans="1:8" ht="14.25" x14ac:dyDescent="0.2">
      <c r="A14" s="50" t="s">
        <v>23</v>
      </c>
      <c r="B14" s="58"/>
      <c r="C14" s="51">
        <v>0</v>
      </c>
      <c r="E14" s="23"/>
      <c r="F14" s="29"/>
      <c r="G14" s="29"/>
      <c r="H14" s="23"/>
    </row>
    <row r="15" spans="1:8" ht="15" x14ac:dyDescent="0.25">
      <c r="A15" s="59" t="s">
        <v>19</v>
      </c>
      <c r="B15" s="60">
        <v>0</v>
      </c>
      <c r="C15" s="61">
        <v>0</v>
      </c>
      <c r="D15" s="30"/>
      <c r="E15" s="23"/>
      <c r="F15" s="29"/>
      <c r="G15" s="29"/>
      <c r="H15" s="23"/>
    </row>
    <row r="16" spans="1:8" ht="14.25" x14ac:dyDescent="0.2">
      <c r="A16" s="50"/>
      <c r="B16" s="58"/>
      <c r="C16" s="50"/>
      <c r="E16" s="23"/>
      <c r="F16" s="23"/>
      <c r="G16" s="23"/>
      <c r="H16" s="23"/>
    </row>
    <row r="17" spans="1:8" ht="15" x14ac:dyDescent="0.25">
      <c r="A17" s="55" t="s">
        <v>14</v>
      </c>
      <c r="B17" s="58"/>
      <c r="C17" s="50"/>
      <c r="E17" s="23"/>
      <c r="F17" s="23"/>
      <c r="G17" s="23"/>
      <c r="H17" s="23"/>
    </row>
    <row r="18" spans="1:8" ht="14.25" x14ac:dyDescent="0.2">
      <c r="A18" s="50" t="s">
        <v>1</v>
      </c>
      <c r="B18" s="58">
        <f>IF(B6&lt;50,MIN($B$9,45)*-1700,0)</f>
        <v>0</v>
      </c>
      <c r="C18" s="58">
        <f>IF(B6&lt;50,MIN($B$9,45)*-1700,0)</f>
        <v>0</v>
      </c>
      <c r="E18" s="21"/>
      <c r="F18" s="22"/>
      <c r="G18" s="22"/>
      <c r="H18" s="22"/>
    </row>
    <row r="19" spans="1:8" ht="15" x14ac:dyDescent="0.25">
      <c r="A19" s="55" t="s">
        <v>2</v>
      </c>
      <c r="B19" s="62">
        <f>B15+B18</f>
        <v>0</v>
      </c>
      <c r="C19" s="62">
        <f>C15+C18</f>
        <v>0</v>
      </c>
      <c r="E19" s="23"/>
      <c r="F19" s="23"/>
      <c r="G19" s="23"/>
      <c r="H19" s="23"/>
    </row>
    <row r="20" spans="1:8" ht="14.25" x14ac:dyDescent="0.2">
      <c r="A20" s="50"/>
      <c r="B20" s="58"/>
      <c r="C20" s="50"/>
      <c r="E20" s="23"/>
      <c r="F20" s="27"/>
      <c r="G20" s="23"/>
      <c r="H20" s="23"/>
    </row>
    <row r="21" spans="1:8" ht="14.25" x14ac:dyDescent="0.2">
      <c r="A21" s="50" t="s">
        <v>20</v>
      </c>
      <c r="B21" s="58">
        <f>MIN(B19,65000)*25%</f>
        <v>0</v>
      </c>
      <c r="C21" s="58">
        <f>MIN(C19,65000*IFERROR((C13/C14),1))*25%</f>
        <v>0</v>
      </c>
      <c r="E21" s="23"/>
      <c r="F21" s="23"/>
      <c r="G21" s="23"/>
      <c r="H21" s="23"/>
    </row>
    <row r="22" spans="1:8" ht="14.25" x14ac:dyDescent="0.2">
      <c r="A22" s="50" t="s">
        <v>21</v>
      </c>
      <c r="B22" s="58">
        <f>MAX(MIN(B19,202200)-65000,0)*85%</f>
        <v>0</v>
      </c>
      <c r="C22" s="58">
        <f>MAX(MIN(C19,202200*IFERROR((C13/C14),1))-(65000*IFERROR((C13/C14),1)),0)*85%</f>
        <v>0</v>
      </c>
      <c r="E22" s="23"/>
      <c r="F22" s="23"/>
      <c r="G22" s="31"/>
    </row>
    <row r="23" spans="1:8" ht="14.25" x14ac:dyDescent="0.2">
      <c r="A23" s="50" t="s">
        <v>22</v>
      </c>
      <c r="B23" s="58">
        <f>MAX(B19-202200,0)*150%</f>
        <v>0</v>
      </c>
      <c r="C23" s="58">
        <f>MAX(C19-(202200*IFERROR((C13/C14),1)),0)*150%</f>
        <v>0</v>
      </c>
      <c r="E23" s="23"/>
      <c r="F23" s="27"/>
      <c r="G23" s="32"/>
    </row>
    <row r="24" spans="1:8" ht="15" x14ac:dyDescent="0.25">
      <c r="A24" s="55" t="s">
        <v>6</v>
      </c>
      <c r="B24" s="63">
        <f>SUM(B21:B23)</f>
        <v>0</v>
      </c>
      <c r="C24" s="63">
        <f>SUM(C21:C23)</f>
        <v>0</v>
      </c>
      <c r="E24" s="23"/>
      <c r="F24" s="27"/>
    </row>
    <row r="25" spans="1:8" ht="14.25" x14ac:dyDescent="0.2">
      <c r="A25" s="50"/>
      <c r="B25" s="58"/>
      <c r="C25" s="50"/>
      <c r="E25" s="23"/>
      <c r="F25" s="33"/>
    </row>
    <row r="26" spans="1:8" ht="15" x14ac:dyDescent="0.25">
      <c r="A26" s="55" t="s">
        <v>7</v>
      </c>
      <c r="B26" s="64"/>
      <c r="C26" s="64"/>
      <c r="E26" s="23"/>
      <c r="F26" s="34"/>
    </row>
    <row r="27" spans="1:8" ht="14.25" x14ac:dyDescent="0.2">
      <c r="A27" s="50" t="s">
        <v>46</v>
      </c>
      <c r="B27" s="58">
        <f>MAX((MIN($B$6,125)-0),0)*250</f>
        <v>0</v>
      </c>
      <c r="C27" s="58">
        <f>MAX((MIN($B$6,125)-0),0)*(250*IFERROR((C13/C14),1))</f>
        <v>0</v>
      </c>
      <c r="E27" s="35"/>
      <c r="F27" s="28"/>
    </row>
    <row r="28" spans="1:8" ht="14.25" x14ac:dyDescent="0.2">
      <c r="A28" s="50" t="s">
        <v>47</v>
      </c>
      <c r="B28" s="58">
        <f>MAX((MIN($B$6,160)-125),0)*500</f>
        <v>0</v>
      </c>
      <c r="C28" s="58">
        <f>MAX((MIN($B$6,160)-125),0)*(500*IFERROR((C13/C14),1))</f>
        <v>0</v>
      </c>
    </row>
    <row r="29" spans="1:8" ht="14.25" x14ac:dyDescent="0.2">
      <c r="A29" s="50" t="s">
        <v>48</v>
      </c>
      <c r="B29" s="58">
        <f>MAX((MIN($B$6,1000)-160),0)*950</f>
        <v>0</v>
      </c>
      <c r="C29" s="58">
        <f>MAX((MIN($B$6,1000)-160),0)*(950*IFERROR((C13/C14),1))</f>
        <v>0</v>
      </c>
      <c r="D29" s="20"/>
      <c r="E29" s="20"/>
    </row>
    <row r="30" spans="1:8" ht="15" x14ac:dyDescent="0.25">
      <c r="A30" s="55" t="s">
        <v>49</v>
      </c>
      <c r="B30" s="63">
        <f>SUM(B27:B29)</f>
        <v>0</v>
      </c>
      <c r="C30" s="63">
        <f>SUM(C27:C29)</f>
        <v>0</v>
      </c>
    </row>
    <row r="31" spans="1:8" ht="14.25" x14ac:dyDescent="0.2">
      <c r="A31" s="50"/>
      <c r="B31" s="58"/>
      <c r="C31" s="50"/>
      <c r="E31" s="20"/>
    </row>
    <row r="32" spans="1:8" ht="15" x14ac:dyDescent="0.25">
      <c r="A32" s="55" t="s">
        <v>8</v>
      </c>
      <c r="B32" s="63">
        <f>B24+B30</f>
        <v>0</v>
      </c>
      <c r="C32" s="63">
        <f>C24+C30</f>
        <v>0</v>
      </c>
    </row>
    <row r="33" spans="1:4" ht="14.25" x14ac:dyDescent="0.2">
      <c r="A33" s="50" t="s">
        <v>0</v>
      </c>
      <c r="B33" s="58">
        <f>-MIN(21700,B32)</f>
        <v>0</v>
      </c>
      <c r="C33" s="58">
        <f>-MIN(21700*IFERROR((C13/C14),1),C32)</f>
        <v>0</v>
      </c>
    </row>
    <row r="34" spans="1:4" ht="15" x14ac:dyDescent="0.25">
      <c r="A34" s="55" t="s">
        <v>40</v>
      </c>
      <c r="B34" s="63">
        <f>MAX(B32+B33,0)</f>
        <v>0</v>
      </c>
      <c r="C34" s="63">
        <f>C32+C33</f>
        <v>0</v>
      </c>
    </row>
    <row r="35" spans="1:4" ht="14.25" x14ac:dyDescent="0.2">
      <c r="A35" s="50" t="str">
        <f>"Indfasning ("&amp;IF($B$6=0,40,IF($B$6&lt;50,45,100))&amp;"%) af registreringsafgift"</f>
        <v>Indfasning (40%) af registreringsafgift</v>
      </c>
      <c r="B35" s="58">
        <f>IF($B$6=0,40%,IF($B$6&lt;50,45%,1))*B34</f>
        <v>0</v>
      </c>
      <c r="C35" s="58">
        <f>IF($B$6=0,40%,IF($B$6&lt;50,45%,1))*C34</f>
        <v>0</v>
      </c>
    </row>
    <row r="36" spans="1:4" ht="14.25" x14ac:dyDescent="0.2">
      <c r="A36" s="50" t="s">
        <v>15</v>
      </c>
      <c r="B36" s="58">
        <f>MAX(-B35,IF($B$6=0,-170000,IF($B$6&lt;50,-50000,0)))</f>
        <v>0</v>
      </c>
      <c r="C36" s="58">
        <f>MAX(-C35,IF($B$6=0,-170000*IFERROR((C13/C14),1),IF($B$6&lt;50,-50000*IFERROR((C13/C14),1),0)))</f>
        <v>0</v>
      </c>
    </row>
    <row r="37" spans="1:4" ht="15" x14ac:dyDescent="0.25">
      <c r="A37" s="55" t="s">
        <v>26</v>
      </c>
      <c r="B37" s="65">
        <f>SUM(B35:B36)</f>
        <v>0</v>
      </c>
      <c r="C37" s="65">
        <f>SUM(C35:C36)</f>
        <v>0</v>
      </c>
      <c r="D37" s="19" t="str">
        <f>IF(OR(C38&gt;1,C38&lt;-1),"Kør målsøgning for at beregne registreringsafgift","")</f>
        <v/>
      </c>
    </row>
    <row r="38" spans="1:4" ht="14.25" x14ac:dyDescent="0.2">
      <c r="A38" s="50" t="s">
        <v>24</v>
      </c>
      <c r="B38" s="58"/>
      <c r="C38" s="82">
        <f>C39-C13</f>
        <v>0</v>
      </c>
      <c r="D38" s="36"/>
    </row>
    <row r="39" spans="1:4" ht="14.25" x14ac:dyDescent="0.2">
      <c r="A39" s="50" t="s">
        <v>27</v>
      </c>
      <c r="B39" s="58">
        <f>B15+B37</f>
        <v>0</v>
      </c>
      <c r="C39" s="58">
        <f>C15+C37</f>
        <v>0</v>
      </c>
    </row>
  </sheetData>
  <sheetProtection algorithmName="SHA-512" hashValue="VtlOk20aKkplDiJ17PuCcnRb/zOLqImePu16evqIgjRnXOZx1WvuO8DqVJXDxuYRBObqikNRU2JGrJFKkl9OeQ==" saltValue="OBqkWCnhXZlLLBzkcfLGGw==" spinCount="100000" sheet="1" objects="1" scenarios="1"/>
  <dataConsolidate/>
  <mergeCells count="2">
    <mergeCell ref="A5:C5"/>
    <mergeCell ref="A11:C11"/>
  </mergeCells>
  <conditionalFormatting sqref="C37">
    <cfRule type="expression" dxfId="7" priority="2">
      <formula>OR($C$38&lt;-1,$C$38&gt;1)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CDA8-3E5C-43D0-9CFC-8A84C1D95A2F}">
  <sheetPr codeName="Ark2"/>
  <dimension ref="A5:H38"/>
  <sheetViews>
    <sheetView showGridLines="0" workbookViewId="0"/>
  </sheetViews>
  <sheetFormatPr defaultRowHeight="12.75" x14ac:dyDescent="0.2"/>
  <cols>
    <col min="1" max="1" width="52.7109375" style="37" customWidth="1"/>
    <col min="2" max="2" width="15.7109375" style="38" customWidth="1"/>
    <col min="3" max="3" width="15.7109375" style="37" customWidth="1"/>
    <col min="4" max="8" width="9.140625" style="37" customWidth="1"/>
    <col min="9" max="16384" width="9.140625" style="37"/>
  </cols>
  <sheetData>
    <row r="5" spans="1:7" ht="15" x14ac:dyDescent="0.25">
      <c r="A5" s="86" t="s">
        <v>13</v>
      </c>
      <c r="B5" s="86"/>
      <c r="C5" s="86"/>
      <c r="E5" s="39"/>
      <c r="F5" s="40"/>
      <c r="G5" s="40"/>
    </row>
    <row r="6" spans="1:7" ht="14.25" x14ac:dyDescent="0.2">
      <c r="A6" s="66" t="s">
        <v>10</v>
      </c>
      <c r="B6" s="51">
        <v>0</v>
      </c>
      <c r="C6" s="66" t="s">
        <v>12</v>
      </c>
      <c r="E6" s="41"/>
      <c r="F6" s="42"/>
      <c r="G6" s="42"/>
    </row>
    <row r="7" spans="1:7" ht="14.25" x14ac:dyDescent="0.2">
      <c r="A7" s="66" t="s">
        <v>3</v>
      </c>
      <c r="B7" s="51">
        <v>0</v>
      </c>
      <c r="C7" s="66" t="s">
        <v>11</v>
      </c>
      <c r="E7" s="41"/>
      <c r="F7" s="42"/>
      <c r="G7" s="42"/>
    </row>
    <row r="8" spans="1:7" ht="14.25" x14ac:dyDescent="0.2">
      <c r="A8" s="66" t="s">
        <v>4</v>
      </c>
      <c r="B8" s="51">
        <v>0</v>
      </c>
      <c r="C8" s="66" t="s">
        <v>28</v>
      </c>
      <c r="E8" s="41"/>
      <c r="F8" s="42"/>
      <c r="G8" s="42"/>
    </row>
    <row r="9" spans="1:7" ht="14.25" x14ac:dyDescent="0.2">
      <c r="A9" s="66" t="s">
        <v>5</v>
      </c>
      <c r="B9" s="67">
        <f>B7/1000*B8</f>
        <v>0</v>
      </c>
      <c r="C9" s="66" t="s">
        <v>9</v>
      </c>
      <c r="E9" s="41"/>
      <c r="F9" s="43"/>
      <c r="G9" s="43"/>
    </row>
    <row r="10" spans="1:7" ht="14.25" x14ac:dyDescent="0.2">
      <c r="A10" s="66" t="s">
        <v>29</v>
      </c>
      <c r="B10" s="51">
        <v>2000</v>
      </c>
      <c r="C10" s="66" t="s">
        <v>30</v>
      </c>
      <c r="E10" s="41"/>
      <c r="F10" s="43"/>
      <c r="G10" s="43"/>
    </row>
    <row r="11" spans="1:7" ht="14.25" x14ac:dyDescent="0.2">
      <c r="A11" s="66" t="s">
        <v>31</v>
      </c>
      <c r="B11" s="68" t="s">
        <v>33</v>
      </c>
      <c r="C11" s="66"/>
      <c r="E11" s="41"/>
      <c r="F11" s="43"/>
      <c r="G11" s="43"/>
    </row>
    <row r="12" spans="1:7" ht="14.25" x14ac:dyDescent="0.2">
      <c r="A12" s="69"/>
      <c r="B12" s="70"/>
      <c r="C12" s="69"/>
      <c r="E12" s="41"/>
      <c r="F12" s="43"/>
      <c r="G12" s="44"/>
    </row>
    <row r="13" spans="1:7" ht="15" x14ac:dyDescent="0.25">
      <c r="A13" s="86" t="s">
        <v>8</v>
      </c>
      <c r="B13" s="86"/>
      <c r="C13" s="86"/>
      <c r="E13" s="41"/>
      <c r="F13" s="45"/>
      <c r="G13" s="45"/>
    </row>
    <row r="14" spans="1:7" ht="15" x14ac:dyDescent="0.25">
      <c r="A14" s="71" t="s">
        <v>39</v>
      </c>
      <c r="B14" s="72" t="s">
        <v>17</v>
      </c>
      <c r="C14" s="73" t="s">
        <v>18</v>
      </c>
      <c r="E14" s="41"/>
      <c r="F14" s="45"/>
      <c r="G14" s="45"/>
    </row>
    <row r="15" spans="1:7" ht="14.25" x14ac:dyDescent="0.2">
      <c r="A15" s="66" t="s">
        <v>16</v>
      </c>
      <c r="B15" s="74"/>
      <c r="C15" s="51">
        <v>0</v>
      </c>
      <c r="D15" s="46"/>
      <c r="E15" s="41"/>
      <c r="F15" s="43"/>
      <c r="G15" s="43"/>
    </row>
    <row r="16" spans="1:7" ht="14.25" x14ac:dyDescent="0.2">
      <c r="A16" s="66" t="s">
        <v>23</v>
      </c>
      <c r="B16" s="74"/>
      <c r="C16" s="51">
        <v>0</v>
      </c>
      <c r="E16" s="41"/>
      <c r="F16" s="43"/>
      <c r="G16" s="43"/>
    </row>
    <row r="17" spans="1:8" ht="15" x14ac:dyDescent="0.25">
      <c r="A17" s="75" t="s">
        <v>19</v>
      </c>
      <c r="B17" s="60">
        <v>0</v>
      </c>
      <c r="C17" s="61">
        <v>0</v>
      </c>
      <c r="E17" s="41"/>
      <c r="F17" s="41"/>
    </row>
    <row r="18" spans="1:8" ht="14.25" x14ac:dyDescent="0.2">
      <c r="A18" s="66"/>
      <c r="B18" s="74"/>
      <c r="C18" s="66"/>
      <c r="E18" s="41"/>
      <c r="F18" s="43"/>
      <c r="G18" s="47"/>
      <c r="H18" s="47"/>
    </row>
    <row r="19" spans="1:8" ht="15" x14ac:dyDescent="0.25">
      <c r="A19" s="71" t="s">
        <v>14</v>
      </c>
      <c r="B19" s="74"/>
      <c r="C19" s="66"/>
      <c r="E19" s="41"/>
      <c r="F19" s="43"/>
    </row>
    <row r="20" spans="1:8" ht="14.25" x14ac:dyDescent="0.2">
      <c r="A20" s="66" t="s">
        <v>1</v>
      </c>
      <c r="B20" s="74">
        <f>IF(B6&lt;50,MIN($B$9,45)*-1700,0)</f>
        <v>0</v>
      </c>
      <c r="C20" s="74">
        <f>IF(B6&lt;50,MIN($B$9,45)*-1700,0)</f>
        <v>0</v>
      </c>
    </row>
    <row r="21" spans="1:8" ht="15" x14ac:dyDescent="0.25">
      <c r="A21" s="71" t="s">
        <v>2</v>
      </c>
      <c r="B21" s="76">
        <f>B17+B20</f>
        <v>0</v>
      </c>
      <c r="C21" s="76">
        <f>C17+C20</f>
        <v>0</v>
      </c>
    </row>
    <row r="22" spans="1:8" ht="14.25" x14ac:dyDescent="0.2">
      <c r="A22" s="66"/>
      <c r="B22" s="74"/>
      <c r="C22" s="66"/>
      <c r="G22" s="48"/>
    </row>
    <row r="23" spans="1:8" ht="14.25" x14ac:dyDescent="0.2">
      <c r="A23" s="66" t="s">
        <v>34</v>
      </c>
      <c r="B23" s="74">
        <f>MIN(B21,75000)*0%</f>
        <v>0</v>
      </c>
      <c r="C23" s="74">
        <f>MIN(C21,75000*IFERROR((C15/C16),1))*0%</f>
        <v>0</v>
      </c>
      <c r="G23" s="49"/>
    </row>
    <row r="24" spans="1:8" ht="14.25" x14ac:dyDescent="0.2">
      <c r="A24" s="66" t="s">
        <v>35</v>
      </c>
      <c r="B24" s="74">
        <f>MAX(B21-75000,0)*50%</f>
        <v>0</v>
      </c>
      <c r="C24" s="74">
        <f>MAX(C21-(75000*IFERROR((C15/C16),1)),0)*50%</f>
        <v>0</v>
      </c>
    </row>
    <row r="25" spans="1:8" ht="15" x14ac:dyDescent="0.25">
      <c r="A25" s="71" t="s">
        <v>6</v>
      </c>
      <c r="B25" s="77">
        <f>SUM(B23:B24)</f>
        <v>0</v>
      </c>
      <c r="C25" s="77">
        <f>SUM(C23:C24)</f>
        <v>0</v>
      </c>
      <c r="F25" s="48"/>
    </row>
    <row r="26" spans="1:8" ht="14.25" x14ac:dyDescent="0.2">
      <c r="A26" s="66"/>
      <c r="B26" s="74"/>
      <c r="C26" s="66"/>
    </row>
    <row r="27" spans="1:8" ht="15" x14ac:dyDescent="0.25">
      <c r="A27" s="71" t="s">
        <v>7</v>
      </c>
      <c r="B27" s="78"/>
      <c r="C27" s="78"/>
      <c r="D27" s="38"/>
      <c r="E27" s="38"/>
    </row>
    <row r="28" spans="1:8" ht="14.25" x14ac:dyDescent="0.2">
      <c r="A28" s="66" t="s">
        <v>50</v>
      </c>
      <c r="B28" s="74">
        <f>$B$6*250</f>
        <v>0</v>
      </c>
      <c r="C28" s="74">
        <f>$B$6*(250*IFERROR((C15/C16),1))</f>
        <v>0</v>
      </c>
    </row>
    <row r="29" spans="1:8" ht="15" x14ac:dyDescent="0.25">
      <c r="A29" s="71" t="s">
        <v>49</v>
      </c>
      <c r="B29" s="77">
        <f>SUM(B28:B28)</f>
        <v>0</v>
      </c>
      <c r="C29" s="77">
        <f>SUM(C28:C28)</f>
        <v>0</v>
      </c>
      <c r="E29" s="38"/>
    </row>
    <row r="30" spans="1:8" ht="14.25" x14ac:dyDescent="0.2">
      <c r="A30" s="66"/>
      <c r="B30" s="74"/>
      <c r="C30" s="66"/>
    </row>
    <row r="31" spans="1:8" ht="15" x14ac:dyDescent="0.25">
      <c r="A31" s="71" t="s">
        <v>8</v>
      </c>
      <c r="B31" s="77">
        <f>B25+B29</f>
        <v>0</v>
      </c>
      <c r="C31" s="77">
        <f>C25+C29</f>
        <v>0</v>
      </c>
    </row>
    <row r="32" spans="1:8" ht="14.25" x14ac:dyDescent="0.2">
      <c r="A32" s="66" t="s">
        <v>0</v>
      </c>
      <c r="B32" s="74">
        <f>-MIN(30000,B31)</f>
        <v>0</v>
      </c>
      <c r="C32" s="74">
        <f>-MIN(30000*IFERROR((C15/C16),1),C31)</f>
        <v>0</v>
      </c>
    </row>
    <row r="33" spans="1:4" ht="15" x14ac:dyDescent="0.25">
      <c r="A33" s="71" t="s">
        <v>40</v>
      </c>
      <c r="B33" s="74">
        <f>B31+B32</f>
        <v>0</v>
      </c>
      <c r="C33" s="74">
        <f>C31+C32</f>
        <v>0</v>
      </c>
    </row>
    <row r="34" spans="1:4" ht="14.25" x14ac:dyDescent="0.2">
      <c r="A34" s="66" t="str">
        <f>"Indfasning ("&amp;IF($B$6=0,40,IF($B$6&lt;50,45,100))&amp;"%) af registreringsafgift"</f>
        <v>Indfasning (40%) af registreringsafgift</v>
      </c>
      <c r="B34" s="74">
        <f>IF($B$6=0,40%,IF($B$6&lt;50,45%,1))*B33</f>
        <v>0</v>
      </c>
      <c r="C34" s="74">
        <f>IF($B$6=0,40%,IF($B$6&lt;50,45%,1))*C33</f>
        <v>0</v>
      </c>
    </row>
    <row r="35" spans="1:4" ht="14.25" x14ac:dyDescent="0.2">
      <c r="A35" s="66" t="s">
        <v>15</v>
      </c>
      <c r="B35" s="74">
        <f>MAX(-B34,IF($B$6=0,-80000,IF($B$6&lt;50,-50000,0)))</f>
        <v>0</v>
      </c>
      <c r="C35" s="74">
        <f>MAX(-C34,IF($B$6=0,-80000*IFERROR((C15/C16),1),IF($B$6&lt;50,-50000*IFERROR((C15/C16),1),0)))</f>
        <v>0</v>
      </c>
    </row>
    <row r="36" spans="1:4" ht="15" x14ac:dyDescent="0.25">
      <c r="A36" s="55" t="s">
        <v>26</v>
      </c>
      <c r="B36" s="79">
        <f>IF(AND(B10&gt;3000,B11="Ja"),MIN(SUM(B34:B35),47000),SUM(B34:B35))</f>
        <v>0</v>
      </c>
      <c r="C36" s="79">
        <f>IF(AND(B10&gt;3000,B11="Ja"),MIN(SUM(C34:C35),47000*IFERROR((C15/C16),1)),SUM(C34:C35))</f>
        <v>0</v>
      </c>
      <c r="D36" s="37" t="str">
        <f>IF(OR(C37&gt;1,C37&lt;-1),"Kør målsøgning for at beregne registreringsafgift","")</f>
        <v/>
      </c>
    </row>
    <row r="37" spans="1:4" ht="14.25" x14ac:dyDescent="0.2">
      <c r="A37" s="50" t="s">
        <v>24</v>
      </c>
      <c r="B37" s="74"/>
      <c r="C37" s="74">
        <f>C38-C15</f>
        <v>0</v>
      </c>
    </row>
    <row r="38" spans="1:4" ht="14.25" x14ac:dyDescent="0.2">
      <c r="A38" s="50" t="s">
        <v>27</v>
      </c>
      <c r="B38" s="74">
        <f>B17+B36</f>
        <v>0</v>
      </c>
      <c r="C38" s="74">
        <f>C17+C36</f>
        <v>0</v>
      </c>
    </row>
  </sheetData>
  <sheetProtection algorithmName="SHA-512" hashValue="jyLfl/uulA7AOUX9w7o69szTxZIJsyWwS7Z0P6c9Gv+lZfngElLRfS7AZO9Fv/tkqFGFd5bvUitPtGCilbs/LA==" saltValue="ArALekDfBIG2RVH5BZ2M0Q==" spinCount="100000" sheet="1" objects="1" scenarios="1"/>
  <dataConsolidate/>
  <mergeCells count="2">
    <mergeCell ref="A5:C5"/>
    <mergeCell ref="A13:C13"/>
  </mergeCells>
  <conditionalFormatting sqref="C36">
    <cfRule type="expression" dxfId="6" priority="1">
      <formula>OR($C$37&gt;1,$C$37&lt;-1)</formula>
    </cfRule>
  </conditionalFormatting>
  <dataValidations count="1">
    <dataValidation type="list" allowBlank="1" showInputMessage="1" showErrorMessage="1" errorTitle="Fejl" error="Ugyldig værdi" sqref="B11" xr:uid="{6032E9D1-F458-4B34-9C32-706B218AA4D5}">
      <formula1>"Nej,Ja"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C0E6-40F4-4DC5-97FC-32A802D0D175}">
  <sheetPr codeName="Ark3"/>
  <dimension ref="A5:H37"/>
  <sheetViews>
    <sheetView showGridLines="0" zoomScaleNormal="100" workbookViewId="0"/>
  </sheetViews>
  <sheetFormatPr defaultRowHeight="12.75" x14ac:dyDescent="0.2"/>
  <cols>
    <col min="1" max="1" width="52.7109375" style="1" customWidth="1"/>
    <col min="2" max="2" width="15.7109375" style="2" customWidth="1"/>
    <col min="3" max="3" width="15.7109375" style="1" customWidth="1"/>
    <col min="4" max="8" width="9.140625" style="1" customWidth="1"/>
    <col min="9" max="16384" width="9.140625" style="1"/>
  </cols>
  <sheetData>
    <row r="5" spans="1:7" ht="15" x14ac:dyDescent="0.25">
      <c r="A5" s="86" t="s">
        <v>13</v>
      </c>
      <c r="B5" s="86"/>
      <c r="C5" s="86"/>
      <c r="E5" s="7"/>
      <c r="F5" s="8"/>
      <c r="G5" s="8"/>
    </row>
    <row r="6" spans="1:7" ht="14.25" x14ac:dyDescent="0.2">
      <c r="A6" s="66" t="s">
        <v>32</v>
      </c>
      <c r="B6" s="68" t="s">
        <v>33</v>
      </c>
      <c r="C6" s="66"/>
      <c r="E6" s="5"/>
      <c r="F6" s="9"/>
      <c r="G6" s="10"/>
    </row>
    <row r="7" spans="1:7" ht="14.25" x14ac:dyDescent="0.2">
      <c r="A7" s="69"/>
      <c r="B7" s="70"/>
      <c r="C7" s="69"/>
      <c r="E7" s="5"/>
      <c r="F7" s="11"/>
      <c r="G7" s="11"/>
    </row>
    <row r="8" spans="1:7" ht="15" x14ac:dyDescent="0.25">
      <c r="A8" s="73" t="s">
        <v>8</v>
      </c>
      <c r="B8" s="72" t="s">
        <v>17</v>
      </c>
      <c r="C8" s="73" t="s">
        <v>18</v>
      </c>
      <c r="E8" s="5"/>
      <c r="F8" s="11"/>
      <c r="G8" s="11"/>
    </row>
    <row r="9" spans="1:7" ht="15" x14ac:dyDescent="0.25">
      <c r="A9" s="71" t="s">
        <v>39</v>
      </c>
      <c r="B9" s="71"/>
      <c r="C9" s="71"/>
      <c r="E9" s="5"/>
      <c r="F9" s="11"/>
      <c r="G9" s="11"/>
    </row>
    <row r="10" spans="1:7" ht="14.25" x14ac:dyDescent="0.2">
      <c r="A10" s="66" t="s">
        <v>16</v>
      </c>
      <c r="B10" s="74"/>
      <c r="C10" s="51">
        <v>0</v>
      </c>
      <c r="E10" s="5"/>
      <c r="F10" s="12"/>
      <c r="G10" s="12"/>
    </row>
    <row r="11" spans="1:7" ht="14.25" x14ac:dyDescent="0.2">
      <c r="A11" s="66" t="s">
        <v>23</v>
      </c>
      <c r="B11" s="74"/>
      <c r="C11" s="51">
        <v>0</v>
      </c>
      <c r="E11" s="5"/>
      <c r="F11" s="12"/>
      <c r="G11" s="2"/>
    </row>
    <row r="12" spans="1:7" ht="14.25" x14ac:dyDescent="0.2">
      <c r="A12" s="80" t="s">
        <v>19</v>
      </c>
      <c r="B12" s="51">
        <v>0</v>
      </c>
      <c r="C12" s="82">
        <v>0</v>
      </c>
      <c r="E12" s="5"/>
      <c r="F12" s="12"/>
      <c r="G12" s="2"/>
    </row>
    <row r="13" spans="1:7" ht="14.25" x14ac:dyDescent="0.2">
      <c r="A13" s="66"/>
      <c r="B13" s="74"/>
      <c r="C13" s="66"/>
      <c r="E13" s="5"/>
      <c r="F13" s="12"/>
      <c r="G13" s="4"/>
    </row>
    <row r="14" spans="1:7" ht="15" x14ac:dyDescent="0.25">
      <c r="A14" s="71" t="s">
        <v>2</v>
      </c>
      <c r="B14" s="76">
        <f>B12</f>
        <v>0</v>
      </c>
      <c r="C14" s="76">
        <f>C12</f>
        <v>0</v>
      </c>
      <c r="F14" s="13"/>
      <c r="G14" s="13"/>
    </row>
    <row r="15" spans="1:7" ht="14.25" x14ac:dyDescent="0.2">
      <c r="A15" s="66"/>
      <c r="B15" s="74"/>
      <c r="C15" s="74"/>
      <c r="D15" s="6"/>
      <c r="F15" s="13"/>
      <c r="G15" s="13"/>
    </row>
    <row r="16" spans="1:7" ht="14.25" x14ac:dyDescent="0.2">
      <c r="A16" s="66" t="s">
        <v>36</v>
      </c>
      <c r="B16" s="74">
        <f>MIN(B14,20000)*25%</f>
        <v>0</v>
      </c>
      <c r="C16" s="74">
        <f>MIN(C14,(20000*IFERROR((C10/C11),1)))*25%</f>
        <v>0</v>
      </c>
    </row>
    <row r="17" spans="1:8" ht="14.25" x14ac:dyDescent="0.2">
      <c r="A17" s="66" t="s">
        <v>37</v>
      </c>
      <c r="B17" s="74">
        <f>MAX(MIN(B14,68000)-20000,0)*85%</f>
        <v>0</v>
      </c>
      <c r="C17" s="74">
        <f>MAX(MIN(C14,(68000*IFERROR((C10/C11),1)))-(20000*IFERROR((C10/C11),1)),0)*85%</f>
        <v>0</v>
      </c>
    </row>
    <row r="18" spans="1:8" ht="14.25" x14ac:dyDescent="0.2">
      <c r="A18" s="66" t="s">
        <v>38</v>
      </c>
      <c r="B18" s="74">
        <f>MAX(B14-68000,0)*150%</f>
        <v>0</v>
      </c>
      <c r="C18" s="74">
        <f>MAX(C14-(68000*IFERROR((C10/C11),1)),0)*150%</f>
        <v>0</v>
      </c>
      <c r="E18" s="3"/>
      <c r="F18" s="14"/>
      <c r="G18" s="14"/>
      <c r="H18" s="14"/>
    </row>
    <row r="19" spans="1:8" ht="15" x14ac:dyDescent="0.25">
      <c r="A19" s="71" t="s">
        <v>6</v>
      </c>
      <c r="B19" s="77">
        <f>SUM(B16:B18)</f>
        <v>0</v>
      </c>
      <c r="C19" s="77">
        <f>SUM(C16:C18)</f>
        <v>0</v>
      </c>
    </row>
    <row r="20" spans="1:8" ht="14.25" x14ac:dyDescent="0.2">
      <c r="A20" s="69"/>
      <c r="B20" s="70"/>
      <c r="C20" s="69"/>
    </row>
    <row r="21" spans="1:8" ht="15" x14ac:dyDescent="0.25">
      <c r="A21" s="71" t="s">
        <v>8</v>
      </c>
      <c r="B21" s="77">
        <f>IF($B$6="Ja",40%*B19,B19)</f>
        <v>0</v>
      </c>
      <c r="C21" s="77">
        <f>IF($B$6="Ja",40%*C19,C19)</f>
        <v>0</v>
      </c>
    </row>
    <row r="22" spans="1:8" ht="14.25" x14ac:dyDescent="0.2">
      <c r="A22" s="66" t="s">
        <v>0</v>
      </c>
      <c r="B22" s="74">
        <f>IF($B$6="Ja",MAX(-106500,-B21),0)</f>
        <v>0</v>
      </c>
      <c r="C22" s="74">
        <f>-IF($B$6="Ja",MIN(106500*IFERROR((C10/C11),1),C21),0)</f>
        <v>0</v>
      </c>
      <c r="G22" s="4"/>
    </row>
    <row r="23" spans="1:8" ht="15" x14ac:dyDescent="0.25">
      <c r="A23" s="55" t="s">
        <v>26</v>
      </c>
      <c r="B23" s="81">
        <f>SUM(B21:B22)</f>
        <v>0</v>
      </c>
      <c r="C23" s="81">
        <f>SUM(C21:C22)</f>
        <v>0</v>
      </c>
      <c r="D23" s="1" t="str">
        <f>IF(OR(C24&gt;1,C24&lt;-1),"Kør målsøgning for at beregne registreringsafgift","")</f>
        <v/>
      </c>
      <c r="G23" s="3"/>
    </row>
    <row r="24" spans="1:8" ht="14.25" x14ac:dyDescent="0.2">
      <c r="A24" s="50" t="s">
        <v>24</v>
      </c>
      <c r="B24" s="74"/>
      <c r="C24" s="82">
        <f>C25-C10</f>
        <v>0</v>
      </c>
    </row>
    <row r="25" spans="1:8" ht="14.25" x14ac:dyDescent="0.2">
      <c r="A25" s="50" t="s">
        <v>27</v>
      </c>
      <c r="B25" s="74">
        <f>B12+B23</f>
        <v>0</v>
      </c>
      <c r="C25" s="74">
        <f>C12+C23</f>
        <v>0</v>
      </c>
      <c r="F25" s="4"/>
    </row>
    <row r="27" spans="1:8" x14ac:dyDescent="0.2">
      <c r="E27" s="15"/>
      <c r="F27" s="4"/>
    </row>
    <row r="29" spans="1:8" x14ac:dyDescent="0.2">
      <c r="C29" s="2"/>
      <c r="D29" s="2"/>
      <c r="E29" s="2"/>
    </row>
    <row r="30" spans="1:8" x14ac:dyDescent="0.2">
      <c r="A30" s="3"/>
      <c r="B30" s="16"/>
      <c r="C30" s="16"/>
    </row>
    <row r="31" spans="1:8" x14ac:dyDescent="0.2">
      <c r="E31" s="2"/>
    </row>
    <row r="34" spans="2:3" x14ac:dyDescent="0.2">
      <c r="C34" s="2"/>
    </row>
    <row r="35" spans="2:3" x14ac:dyDescent="0.2">
      <c r="C35" s="2"/>
    </row>
    <row r="36" spans="2:3" x14ac:dyDescent="0.2">
      <c r="B36" s="16"/>
      <c r="C36" s="16"/>
    </row>
    <row r="37" spans="2:3" x14ac:dyDescent="0.2">
      <c r="C37" s="2"/>
    </row>
  </sheetData>
  <sheetProtection algorithmName="SHA-512" hashValue="DxMxyxX3ZtqzOjVXyjS9HASRTtjT0GuU6d5Uoqpa9RqW9uAi0IdlR29cnwX8in/buy7I72153BrnOIx8/s3Rlw==" saltValue="ibz/pQBvp9hUNxEAeoDiCg==" spinCount="100000" sheet="1" objects="1" scenarios="1"/>
  <dataConsolidate/>
  <mergeCells count="1">
    <mergeCell ref="A5:C5"/>
  </mergeCells>
  <conditionalFormatting sqref="C23">
    <cfRule type="expression" dxfId="5" priority="1">
      <formula>OR($C$24&gt;1,$C$24&lt;-1)</formula>
    </cfRule>
  </conditionalFormatting>
  <dataValidations count="1">
    <dataValidation type="list" allowBlank="1" showInputMessage="1" showErrorMessage="1" sqref="B6" xr:uid="{5790AC23-B83D-45B4-B3B2-620AB6D9B1A6}">
      <formula1>"Ja,Nej"</formula1>
    </dataValidation>
  </dataValidations>
  <pageMargins left="0.7" right="0.7" top="0.75" bottom="0.75" header="0.3" footer="0.3"/>
  <pageSetup paperSize="9" orientation="portrait" r:id="rId1"/>
  <ignoredErrors>
    <ignoredError sqref="C2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2419-5B35-48BA-86E2-09161FD2461E}">
  <sheetPr codeName="Ark4"/>
  <dimension ref="A5:H41"/>
  <sheetViews>
    <sheetView showGridLines="0" zoomScaleNormal="100" workbookViewId="0"/>
  </sheetViews>
  <sheetFormatPr defaultRowHeight="12.75" x14ac:dyDescent="0.2"/>
  <cols>
    <col min="1" max="1" width="52.7109375" style="1" customWidth="1"/>
    <col min="2" max="2" width="15.7109375" style="2" customWidth="1"/>
    <col min="3" max="3" width="15.7109375" style="1" customWidth="1"/>
    <col min="4" max="8" width="9.140625" style="1" customWidth="1"/>
    <col min="9" max="16384" width="9.140625" style="1"/>
  </cols>
  <sheetData>
    <row r="5" spans="1:7" ht="15" x14ac:dyDescent="0.25">
      <c r="A5" s="86" t="s">
        <v>13</v>
      </c>
      <c r="B5" s="86"/>
      <c r="C5" s="86"/>
      <c r="E5" s="7"/>
      <c r="F5" s="8"/>
      <c r="G5" s="8"/>
    </row>
    <row r="6" spans="1:7" ht="14.25" x14ac:dyDescent="0.2">
      <c r="A6" s="66" t="s">
        <v>10</v>
      </c>
      <c r="B6" s="51">
        <v>0</v>
      </c>
      <c r="C6" s="66" t="s">
        <v>12</v>
      </c>
      <c r="E6" s="5"/>
      <c r="F6" s="9"/>
      <c r="G6" s="10"/>
    </row>
    <row r="7" spans="1:7" ht="14.25" x14ac:dyDescent="0.2">
      <c r="A7" s="66" t="s">
        <v>3</v>
      </c>
      <c r="B7" s="51">
        <v>0</v>
      </c>
      <c r="C7" s="66" t="s">
        <v>11</v>
      </c>
      <c r="E7" s="5"/>
      <c r="F7" s="9"/>
      <c r="G7" s="10"/>
    </row>
    <row r="8" spans="1:7" ht="14.25" x14ac:dyDescent="0.2">
      <c r="A8" s="66" t="s">
        <v>4</v>
      </c>
      <c r="B8" s="51">
        <v>0</v>
      </c>
      <c r="C8" s="66" t="s">
        <v>28</v>
      </c>
      <c r="E8" s="5"/>
      <c r="F8" s="9"/>
      <c r="G8" s="10"/>
    </row>
    <row r="9" spans="1:7" ht="14.25" x14ac:dyDescent="0.2">
      <c r="A9" s="66" t="s">
        <v>5</v>
      </c>
      <c r="B9" s="84">
        <f>B7/1000*B8</f>
        <v>0</v>
      </c>
      <c r="C9" s="66" t="s">
        <v>9</v>
      </c>
      <c r="E9" s="5"/>
      <c r="F9" s="9"/>
      <c r="G9" s="10"/>
    </row>
    <row r="10" spans="1:7" ht="14.25" x14ac:dyDescent="0.2">
      <c r="A10" s="69"/>
      <c r="B10" s="70"/>
      <c r="C10" s="69"/>
      <c r="E10" s="5"/>
      <c r="F10" s="11"/>
      <c r="G10" s="11"/>
    </row>
    <row r="11" spans="1:7" ht="15" x14ac:dyDescent="0.25">
      <c r="A11" s="73" t="s">
        <v>8</v>
      </c>
      <c r="B11" s="73"/>
      <c r="C11" s="73"/>
      <c r="E11" s="5"/>
      <c r="F11" s="11"/>
      <c r="G11" s="11"/>
    </row>
    <row r="12" spans="1:7" ht="15" x14ac:dyDescent="0.25">
      <c r="A12" s="71" t="s">
        <v>41</v>
      </c>
      <c r="B12" s="72" t="s">
        <v>17</v>
      </c>
      <c r="C12" s="73" t="s">
        <v>18</v>
      </c>
      <c r="E12" s="5"/>
      <c r="F12" s="11"/>
      <c r="G12" s="11"/>
    </row>
    <row r="13" spans="1:7" ht="14.25" x14ac:dyDescent="0.2">
      <c r="A13" s="66" t="s">
        <v>16</v>
      </c>
      <c r="B13" s="74"/>
      <c r="C13" s="51">
        <f>B39</f>
        <v>0</v>
      </c>
      <c r="E13" s="5"/>
      <c r="F13" s="12"/>
      <c r="G13" s="12"/>
    </row>
    <row r="14" spans="1:7" ht="14.25" x14ac:dyDescent="0.2">
      <c r="A14" s="66" t="s">
        <v>23</v>
      </c>
      <c r="B14" s="74"/>
      <c r="C14" s="51">
        <f>B39</f>
        <v>0</v>
      </c>
      <c r="E14" s="5"/>
      <c r="F14" s="12"/>
      <c r="G14" s="12"/>
    </row>
    <row r="15" spans="1:7" ht="15" x14ac:dyDescent="0.25">
      <c r="A15" s="75" t="s">
        <v>19</v>
      </c>
      <c r="B15" s="60">
        <v>0</v>
      </c>
      <c r="C15" s="61">
        <v>0</v>
      </c>
      <c r="E15" s="5"/>
      <c r="F15" s="12"/>
      <c r="G15" s="12"/>
    </row>
    <row r="16" spans="1:7" ht="14.25" x14ac:dyDescent="0.2">
      <c r="A16" s="66"/>
      <c r="B16" s="74"/>
      <c r="C16" s="66"/>
      <c r="E16" s="5"/>
      <c r="F16" s="12"/>
      <c r="G16" s="17"/>
    </row>
    <row r="17" spans="1:8" ht="15" x14ac:dyDescent="0.25">
      <c r="A17" s="71" t="s">
        <v>14</v>
      </c>
      <c r="B17" s="74"/>
      <c r="C17" s="66"/>
      <c r="E17" s="5"/>
      <c r="F17" s="13"/>
      <c r="G17" s="13"/>
    </row>
    <row r="18" spans="1:8" ht="14.25" x14ac:dyDescent="0.2">
      <c r="A18" s="66" t="s">
        <v>42</v>
      </c>
      <c r="B18" s="51">
        <v>0</v>
      </c>
      <c r="C18" s="51">
        <v>0</v>
      </c>
      <c r="D18" s="6"/>
      <c r="E18" s="5"/>
      <c r="F18" s="13"/>
      <c r="G18" s="13"/>
    </row>
    <row r="19" spans="1:8" ht="14.25" x14ac:dyDescent="0.2">
      <c r="A19" s="66" t="s">
        <v>1</v>
      </c>
      <c r="B19" s="74">
        <f>IF(B6&lt;50,MIN($B$9,45)*-1700,0)</f>
        <v>0</v>
      </c>
      <c r="C19" s="74">
        <f>IF(B6&lt;50,MIN($B$9,45)*-1700,0)</f>
        <v>0</v>
      </c>
      <c r="D19" s="6"/>
      <c r="E19" s="5"/>
      <c r="F19" s="13"/>
      <c r="G19" s="13"/>
    </row>
    <row r="20" spans="1:8" ht="15" x14ac:dyDescent="0.25">
      <c r="A20" s="71" t="s">
        <v>2</v>
      </c>
      <c r="B20" s="76">
        <f>MAX(B15-B18+B19,0)</f>
        <v>0</v>
      </c>
      <c r="C20" s="76">
        <f>MAX(C15-C18+C19,0)</f>
        <v>0</v>
      </c>
      <c r="E20" s="12"/>
      <c r="F20" s="12"/>
      <c r="G20" s="12"/>
    </row>
    <row r="21" spans="1:8" ht="14.25" x14ac:dyDescent="0.2">
      <c r="A21" s="66"/>
      <c r="B21" s="74"/>
      <c r="C21" s="66"/>
    </row>
    <row r="22" spans="1:8" ht="14.25" x14ac:dyDescent="0.2">
      <c r="A22" s="66" t="s">
        <v>20</v>
      </c>
      <c r="B22" s="74">
        <f>MIN(B20,65000)*25%</f>
        <v>0</v>
      </c>
      <c r="C22" s="74">
        <f>MIN(C20,65000*IFERROR((C13/C14),1))*25%</f>
        <v>0</v>
      </c>
      <c r="E22" s="5"/>
      <c r="F22" s="12"/>
      <c r="G22" s="14"/>
      <c r="H22" s="14"/>
    </row>
    <row r="23" spans="1:8" ht="14.25" x14ac:dyDescent="0.2">
      <c r="A23" s="66" t="s">
        <v>21</v>
      </c>
      <c r="B23" s="74">
        <f>MAX(MIN(B20,202200)-65000,0)*85%</f>
        <v>0</v>
      </c>
      <c r="C23" s="74">
        <f>MAX(MIN(C20,(202200*IFERROR((C13/C14),1)))-(65000*IFERROR((C13/C14),1)),0)*85%</f>
        <v>0</v>
      </c>
      <c r="E23" s="5"/>
      <c r="F23" s="12"/>
    </row>
    <row r="24" spans="1:8" ht="14.25" x14ac:dyDescent="0.2">
      <c r="A24" s="66" t="s">
        <v>22</v>
      </c>
      <c r="B24" s="74">
        <f>MAX(B20-202200,0)*150%</f>
        <v>0</v>
      </c>
      <c r="C24" s="74">
        <f>MAX(C20-(202200*IFERROR((C13/C14),1)),0)*150%</f>
        <v>0</v>
      </c>
    </row>
    <row r="25" spans="1:8" ht="15" x14ac:dyDescent="0.25">
      <c r="A25" s="71" t="s">
        <v>6</v>
      </c>
      <c r="B25" s="77">
        <f>SUM(B22:B24)</f>
        <v>0</v>
      </c>
      <c r="C25" s="77">
        <f>SUM(C22:C24)</f>
        <v>0</v>
      </c>
    </row>
    <row r="26" spans="1:8" ht="14.25" x14ac:dyDescent="0.2">
      <c r="A26" s="66"/>
      <c r="B26" s="74"/>
      <c r="C26" s="66"/>
      <c r="G26" s="4"/>
    </row>
    <row r="27" spans="1:8" ht="15" x14ac:dyDescent="0.25">
      <c r="A27" s="71" t="s">
        <v>7</v>
      </c>
      <c r="B27" s="78"/>
      <c r="C27" s="78"/>
      <c r="G27" s="3"/>
    </row>
    <row r="28" spans="1:8" ht="14.25" x14ac:dyDescent="0.2">
      <c r="A28" s="66" t="s">
        <v>50</v>
      </c>
      <c r="B28" s="74">
        <f>$B$6*250</f>
        <v>0</v>
      </c>
      <c r="C28" s="74">
        <f>$B$6*(250*IFERROR((C13/C14),1))</f>
        <v>0</v>
      </c>
    </row>
    <row r="29" spans="1:8" ht="15" x14ac:dyDescent="0.25">
      <c r="A29" s="71" t="s">
        <v>49</v>
      </c>
      <c r="B29" s="77">
        <f>B28</f>
        <v>0</v>
      </c>
      <c r="C29" s="77">
        <f>C28</f>
        <v>0</v>
      </c>
      <c r="F29" s="4"/>
    </row>
    <row r="30" spans="1:8" ht="14.25" x14ac:dyDescent="0.2">
      <c r="A30" s="66"/>
      <c r="B30" s="74"/>
      <c r="C30" s="74"/>
    </row>
    <row r="31" spans="1:8" ht="15" x14ac:dyDescent="0.25">
      <c r="A31" s="71" t="s">
        <v>8</v>
      </c>
      <c r="B31" s="77">
        <f>B25+B29</f>
        <v>0</v>
      </c>
      <c r="C31" s="77">
        <f>C25+C29</f>
        <v>0</v>
      </c>
      <c r="E31" s="15"/>
      <c r="F31" s="4"/>
    </row>
    <row r="32" spans="1:8" ht="14.25" x14ac:dyDescent="0.2">
      <c r="A32" s="66" t="s">
        <v>0</v>
      </c>
      <c r="B32" s="74">
        <f>-MIN(21700,B31)</f>
        <v>0</v>
      </c>
      <c r="C32" s="74">
        <f>-MIN(21700*IFERROR((C13/C14),1),C31)</f>
        <v>0</v>
      </c>
    </row>
    <row r="33" spans="1:8" ht="14.25" x14ac:dyDescent="0.2">
      <c r="A33" s="66" t="str">
        <f>"Indfasning ("&amp;IF($B$6=0,40,IF($B$6&lt;50,45,100))&amp;"%) af registreringsafgift"</f>
        <v>Indfasning (40%) af registreringsafgift</v>
      </c>
      <c r="B33" s="74">
        <f>IF($B$6=0,40%,IF($B$6&lt;50,45%,1))*(B31+B32)</f>
        <v>0</v>
      </c>
      <c r="C33" s="74">
        <f>IF($B$6=0,40%,IF($B$6&lt;50,45%,1))*(C31+C32)</f>
        <v>0</v>
      </c>
      <c r="D33" s="2"/>
      <c r="E33" s="2"/>
    </row>
    <row r="34" spans="1:8" ht="14.25" x14ac:dyDescent="0.2">
      <c r="A34" s="66" t="s">
        <v>15</v>
      </c>
      <c r="B34" s="74">
        <f>MAX(-B33,IF($B$6=0,-170000,IF($B$6&lt;50,-50000,0)))</f>
        <v>0</v>
      </c>
      <c r="C34" s="74">
        <f>MAX(-C33,IF($B$6=0,-170000*IFERROR((C13/C14),1),IF($B$6&lt;50,-50000*IFERROR((C13/C14),1),0)))</f>
        <v>0</v>
      </c>
    </row>
    <row r="35" spans="1:8" ht="15" x14ac:dyDescent="0.25">
      <c r="A35" s="71" t="s">
        <v>43</v>
      </c>
      <c r="B35" s="77">
        <f>SUM(B33:B34)</f>
        <v>0</v>
      </c>
      <c r="C35" s="77">
        <f>SUM(C33:C34)</f>
        <v>0</v>
      </c>
    </row>
    <row r="36" spans="1:8" ht="15" x14ac:dyDescent="0.25">
      <c r="A36" s="71" t="s">
        <v>44</v>
      </c>
      <c r="B36" s="77">
        <f>(MAX(B15-12100,0)*45%)</f>
        <v>0</v>
      </c>
      <c r="C36" s="77">
        <f>(MAX(C15-12100,0)*45%)</f>
        <v>0</v>
      </c>
    </row>
    <row r="37" spans="1:8" ht="15" x14ac:dyDescent="0.25">
      <c r="A37" s="55" t="s">
        <v>26</v>
      </c>
      <c r="B37" s="81">
        <f>MAX(B35:B36)</f>
        <v>0</v>
      </c>
      <c r="C37" s="81">
        <f>MAX(C35:C36)</f>
        <v>0</v>
      </c>
      <c r="D37" s="18" t="str">
        <f>IF(OR(C38&gt;1,C38&lt;-1),"Kør målsøgning for at beregne registreringsafgift","")</f>
        <v/>
      </c>
    </row>
    <row r="38" spans="1:8" ht="14.25" x14ac:dyDescent="0.2">
      <c r="A38" s="66"/>
      <c r="B38" s="74"/>
      <c r="C38" s="82">
        <f>C39-C13</f>
        <v>0</v>
      </c>
    </row>
    <row r="39" spans="1:8" ht="14.25" x14ac:dyDescent="0.2">
      <c r="A39" s="66" t="s">
        <v>45</v>
      </c>
      <c r="B39" s="74">
        <f>B15+B37</f>
        <v>0</v>
      </c>
      <c r="C39" s="74">
        <f>C15+C37</f>
        <v>0</v>
      </c>
    </row>
    <row r="41" spans="1:8" s="2" customFormat="1" x14ac:dyDescent="0.2">
      <c r="A41" s="3"/>
      <c r="C41" s="1"/>
      <c r="D41" s="1"/>
      <c r="E41" s="1"/>
      <c r="F41" s="1"/>
      <c r="G41" s="1"/>
      <c r="H41" s="1"/>
    </row>
  </sheetData>
  <sheetProtection algorithmName="SHA-512" hashValue="ywjhXCik0mwwD7raUXLLui6F+VSr6f0EXRZSPaFu6b2/hG0yjkgF8E3wVOYjUxtpKDCBjh0hM1eKNlPCKlfmCg==" saltValue="+oIZDDdhujZHhhPS4pcRhQ==" spinCount="100000" sheet="1" objects="1" scenarios="1"/>
  <dataConsolidate/>
  <mergeCells count="1">
    <mergeCell ref="A5:C5"/>
  </mergeCells>
  <conditionalFormatting sqref="C37">
    <cfRule type="expression" dxfId="4" priority="1">
      <formula>OR($C$38&gt;1,$C$38&lt;-1)</formula>
    </cfRule>
  </conditionalFormatting>
  <pageMargins left="0.7" right="0.7" top="0.75" bottom="0.75" header="0.3" footer="0.3"/>
  <pageSetup paperSize="9" orientation="portrait" r:id="rId1"/>
  <ignoredErrors>
    <ignoredError sqref="C38 B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8A86-ABBD-4C82-8967-2F7D1FDD9787}">
  <sheetPr codeName="Ark5"/>
  <dimension ref="A5:G22"/>
  <sheetViews>
    <sheetView showGridLines="0" zoomScaleNormal="100" workbookViewId="0"/>
  </sheetViews>
  <sheetFormatPr defaultRowHeight="12.75" x14ac:dyDescent="0.2"/>
  <cols>
    <col min="1" max="1" width="52.7109375" style="37" customWidth="1"/>
    <col min="2" max="2" width="15.7109375" style="38" customWidth="1"/>
    <col min="3" max="3" width="15.7109375" style="37" customWidth="1"/>
    <col min="4" max="8" width="9.140625" style="37" customWidth="1"/>
    <col min="9" max="16384" width="9.140625" style="37"/>
  </cols>
  <sheetData>
    <row r="5" spans="1:7" ht="15" x14ac:dyDescent="0.25">
      <c r="A5" s="86" t="s">
        <v>8</v>
      </c>
      <c r="B5" s="86"/>
      <c r="C5" s="86"/>
      <c r="F5" s="38"/>
      <c r="G5" s="38"/>
    </row>
    <row r="6" spans="1:7" ht="15" x14ac:dyDescent="0.25">
      <c r="A6" s="71" t="s">
        <v>39</v>
      </c>
      <c r="B6" s="72"/>
      <c r="C6" s="83"/>
      <c r="F6" s="38"/>
      <c r="G6" s="38"/>
    </row>
    <row r="7" spans="1:7" ht="14.25" x14ac:dyDescent="0.2">
      <c r="A7" s="66" t="s">
        <v>16</v>
      </c>
      <c r="B7" s="74"/>
      <c r="C7" s="51"/>
      <c r="F7" s="38"/>
      <c r="G7" s="48"/>
    </row>
    <row r="8" spans="1:7" ht="14.25" x14ac:dyDescent="0.2">
      <c r="A8" s="66" t="s">
        <v>23</v>
      </c>
      <c r="B8" s="74"/>
      <c r="C8" s="51"/>
      <c r="F8" s="29"/>
      <c r="G8" s="29"/>
    </row>
    <row r="9" spans="1:7" ht="15" x14ac:dyDescent="0.25">
      <c r="A9" s="75" t="s">
        <v>51</v>
      </c>
      <c r="B9" s="60"/>
      <c r="C9" s="61"/>
      <c r="D9" s="30"/>
      <c r="F9" s="29"/>
      <c r="G9" s="29"/>
    </row>
    <row r="10" spans="1:7" ht="14.25" x14ac:dyDescent="0.2">
      <c r="A10" s="66"/>
      <c r="B10" s="74"/>
      <c r="C10" s="66"/>
    </row>
    <row r="11" spans="1:7" ht="15" x14ac:dyDescent="0.25">
      <c r="A11" s="71" t="s">
        <v>2</v>
      </c>
      <c r="B11" s="62">
        <f>75%*B9</f>
        <v>0</v>
      </c>
      <c r="C11" s="62">
        <f>C9</f>
        <v>0</v>
      </c>
    </row>
    <row r="12" spans="1:7" ht="14.25" x14ac:dyDescent="0.2">
      <c r="A12" s="66"/>
      <c r="B12" s="74"/>
      <c r="C12" s="66"/>
      <c r="F12" s="38"/>
    </row>
    <row r="13" spans="1:7" ht="14.25" x14ac:dyDescent="0.2">
      <c r="A13" s="66" t="s">
        <v>20</v>
      </c>
      <c r="B13" s="74">
        <f>MIN(B11,65000)*25%</f>
        <v>0</v>
      </c>
      <c r="C13" s="74">
        <f>MIN(C11,65000*IFERROR((C7/C8),1))*25%</f>
        <v>0</v>
      </c>
    </row>
    <row r="14" spans="1:7" ht="14.25" x14ac:dyDescent="0.2">
      <c r="A14" s="66" t="s">
        <v>21</v>
      </c>
      <c r="B14" s="74">
        <f>MAX(MIN(B11,202200)-65000,0)*85%</f>
        <v>0</v>
      </c>
      <c r="C14" s="74">
        <f>MAX(MIN(C11,202200*IFERROR((C7/C8),1))-(65000*IFERROR((C7/C8),1)),0)*85%</f>
        <v>0</v>
      </c>
      <c r="G14" s="48"/>
    </row>
    <row r="15" spans="1:7" ht="14.25" x14ac:dyDescent="0.2">
      <c r="A15" s="66" t="s">
        <v>22</v>
      </c>
      <c r="B15" s="74">
        <f>MAX(B11-202200,0)*150%</f>
        <v>0</v>
      </c>
      <c r="C15" s="74">
        <f>MAX(C11-(202200*IFERROR((C7/C8),1)),0)*150%</f>
        <v>0</v>
      </c>
      <c r="F15" s="38"/>
      <c r="G15" s="49"/>
    </row>
    <row r="16" spans="1:7" ht="15" x14ac:dyDescent="0.25">
      <c r="A16" s="71" t="s">
        <v>6</v>
      </c>
      <c r="B16" s="77">
        <f>SUM(B13:B15)</f>
        <v>0</v>
      </c>
      <c r="C16" s="77">
        <f>SUM(C13:C15)</f>
        <v>0</v>
      </c>
      <c r="F16" s="38"/>
    </row>
    <row r="17" spans="1:6" x14ac:dyDescent="0.2">
      <c r="F17" s="48"/>
    </row>
    <row r="18" spans="1:6" ht="15" x14ac:dyDescent="0.25">
      <c r="A18" s="71" t="s">
        <v>8</v>
      </c>
      <c r="B18" s="79">
        <f>B16</f>
        <v>0</v>
      </c>
      <c r="C18" s="79">
        <f>C16</f>
        <v>0</v>
      </c>
    </row>
    <row r="19" spans="1:6" ht="14.25" x14ac:dyDescent="0.2">
      <c r="A19" s="66" t="s">
        <v>24</v>
      </c>
      <c r="B19" s="74"/>
      <c r="C19" s="82">
        <f>C20-C7</f>
        <v>0</v>
      </c>
      <c r="D19" s="87"/>
    </row>
    <row r="20" spans="1:6" ht="14.25" x14ac:dyDescent="0.2">
      <c r="A20" s="66" t="s">
        <v>27</v>
      </c>
      <c r="B20" s="74"/>
      <c r="C20" s="74">
        <f>C11+C18</f>
        <v>0</v>
      </c>
    </row>
    <row r="22" spans="1:6" ht="60" customHeight="1" x14ac:dyDescent="0.2">
      <c r="A22" s="88" t="s">
        <v>52</v>
      </c>
      <c r="B22" s="89"/>
      <c r="C22" s="90"/>
    </row>
  </sheetData>
  <sheetProtection algorithmName="SHA-512" hashValue="P7jakKX7eW4/O3X7QZlAlpLSJ+M+caTcE3Axh+CR3sBiqjSkAHRbByHwDAX4Tm9IWjKBZ5O+d1sWXsgfyZTxEw==" saltValue="AbnbHkhSC/a6aGJV9PR+cQ==" spinCount="100000" sheet="1" objects="1" scenarios="1"/>
  <dataConsolidate/>
  <mergeCells count="2">
    <mergeCell ref="A5:C5"/>
    <mergeCell ref="A22:C22"/>
  </mergeCells>
  <conditionalFormatting sqref="C18">
    <cfRule type="expression" dxfId="3" priority="1">
      <formula>OR($C$38&gt;1.5,$C$38&lt;-1.5)</formula>
    </cfRule>
    <cfRule type="expression" dxfId="2" priority="2">
      <formula>OR($C$19&gt;1.5,$C$19&lt;-1.5)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ED1F-A4D1-476C-BAFC-4286B4182E3A}">
  <sheetPr codeName="Ark6"/>
  <dimension ref="A5:H32"/>
  <sheetViews>
    <sheetView showGridLines="0" zoomScaleNormal="100" workbookViewId="0"/>
  </sheetViews>
  <sheetFormatPr defaultRowHeight="12.75" x14ac:dyDescent="0.2"/>
  <cols>
    <col min="1" max="1" width="52.7109375" style="1" customWidth="1"/>
    <col min="2" max="2" width="15.7109375" style="2" customWidth="1"/>
    <col min="3" max="3" width="15.7109375" style="1" customWidth="1"/>
    <col min="4" max="4" width="7.5703125" style="1" bestFit="1" customWidth="1"/>
    <col min="5" max="5" width="26.5703125" style="1" bestFit="1" customWidth="1"/>
    <col min="6" max="7" width="13.28515625" style="1" bestFit="1" customWidth="1"/>
    <col min="8" max="8" width="11.140625" style="1" customWidth="1"/>
    <col min="9" max="16384" width="9.140625" style="1"/>
  </cols>
  <sheetData>
    <row r="5" spans="1:8" ht="15" x14ac:dyDescent="0.25">
      <c r="A5" s="91" t="s">
        <v>8</v>
      </c>
      <c r="B5" s="92"/>
      <c r="C5" s="93"/>
      <c r="F5" s="94"/>
      <c r="G5" s="94"/>
    </row>
    <row r="6" spans="1:8" ht="15" x14ac:dyDescent="0.25">
      <c r="A6" s="71" t="s">
        <v>39</v>
      </c>
      <c r="B6" s="71"/>
      <c r="C6" s="71"/>
      <c r="F6" s="94"/>
      <c r="G6" s="94"/>
    </row>
    <row r="7" spans="1:8" ht="14.25" x14ac:dyDescent="0.2">
      <c r="A7" s="66" t="s">
        <v>16</v>
      </c>
      <c r="B7" s="74"/>
      <c r="C7" s="51"/>
      <c r="F7" s="2"/>
      <c r="G7" s="2"/>
    </row>
    <row r="8" spans="1:8" ht="14.25" x14ac:dyDescent="0.2">
      <c r="A8" s="66" t="s">
        <v>23</v>
      </c>
      <c r="B8" s="74"/>
      <c r="C8" s="51"/>
      <c r="F8" s="2"/>
      <c r="G8" s="2"/>
    </row>
    <row r="9" spans="1:8" ht="15" x14ac:dyDescent="0.25">
      <c r="A9" s="75" t="s">
        <v>51</v>
      </c>
      <c r="B9" s="51"/>
      <c r="C9" s="82"/>
      <c r="F9" s="2"/>
      <c r="G9" s="2"/>
    </row>
    <row r="10" spans="1:8" ht="14.25" x14ac:dyDescent="0.2">
      <c r="A10" s="66"/>
      <c r="B10" s="74"/>
      <c r="C10" s="66"/>
      <c r="F10" s="2"/>
      <c r="G10" s="4"/>
    </row>
    <row r="11" spans="1:8" ht="15" x14ac:dyDescent="0.25">
      <c r="A11" s="71" t="s">
        <v>2</v>
      </c>
      <c r="B11" s="76">
        <f>B9</f>
        <v>0</v>
      </c>
      <c r="C11" s="76">
        <f>C9</f>
        <v>0</v>
      </c>
      <c r="F11" s="13"/>
      <c r="G11" s="13"/>
    </row>
    <row r="12" spans="1:8" ht="14.25" x14ac:dyDescent="0.2">
      <c r="A12" s="66"/>
      <c r="B12" s="74"/>
      <c r="C12" s="74"/>
      <c r="D12" s="6">
        <f>IFERROR((C7/C8),1)</f>
        <v>1</v>
      </c>
      <c r="F12" s="13"/>
      <c r="G12" s="13"/>
    </row>
    <row r="13" spans="1:8" ht="14.25" x14ac:dyDescent="0.2">
      <c r="A13" s="66" t="s">
        <v>36</v>
      </c>
      <c r="B13" s="74">
        <f>MIN(B11,20000)*25%</f>
        <v>0</v>
      </c>
      <c r="C13" s="74">
        <f>MIN(C11,(20000*IFERROR((C7/C8),1)))*25%</f>
        <v>0</v>
      </c>
    </row>
    <row r="14" spans="1:8" ht="14.25" x14ac:dyDescent="0.2">
      <c r="A14" s="66" t="s">
        <v>37</v>
      </c>
      <c r="B14" s="74">
        <f>MAX(MIN(B11,68000)-20000,0)*85%</f>
        <v>0</v>
      </c>
      <c r="C14" s="74">
        <f>MAX(MIN(C11,(68000*IFERROR((C7/C8),1)))-(20000*IFERROR((C7/C8),1)),0)*85%</f>
        <v>0</v>
      </c>
    </row>
    <row r="15" spans="1:8" ht="14.25" x14ac:dyDescent="0.2">
      <c r="A15" s="66" t="s">
        <v>38</v>
      </c>
      <c r="B15" s="74">
        <f>MAX(B11-68000,0)*150%</f>
        <v>0</v>
      </c>
      <c r="C15" s="74">
        <f>MAX(C11-(68000*IFERROR((C7/C8),1)),0)*150%</f>
        <v>0</v>
      </c>
      <c r="E15" s="3"/>
      <c r="F15" s="14"/>
      <c r="G15" s="14"/>
      <c r="H15" s="14"/>
    </row>
    <row r="16" spans="1:8" ht="15" x14ac:dyDescent="0.25">
      <c r="A16" s="71" t="s">
        <v>6</v>
      </c>
      <c r="B16" s="77">
        <f>SUM(B13:B15)</f>
        <v>0</v>
      </c>
      <c r="C16" s="77">
        <f>SUM(C13:C15)</f>
        <v>0</v>
      </c>
    </row>
    <row r="17" spans="1:6" ht="12.75" customHeight="1" x14ac:dyDescent="0.2">
      <c r="B17" s="1"/>
    </row>
    <row r="18" spans="1:6" ht="15" x14ac:dyDescent="0.25">
      <c r="A18" s="71" t="s">
        <v>8</v>
      </c>
      <c r="B18" s="79">
        <f>B16</f>
        <v>0</v>
      </c>
      <c r="C18" s="79">
        <f>C16</f>
        <v>0</v>
      </c>
    </row>
    <row r="19" spans="1:6" ht="14.25" x14ac:dyDescent="0.2">
      <c r="A19" s="66" t="s">
        <v>24</v>
      </c>
      <c r="B19" s="74"/>
      <c r="C19" s="82">
        <f>C20-C7</f>
        <v>0</v>
      </c>
    </row>
    <row r="20" spans="1:6" ht="14.25" x14ac:dyDescent="0.2">
      <c r="A20" s="66" t="s">
        <v>27</v>
      </c>
      <c r="B20" s="74"/>
      <c r="C20" s="74">
        <f>C9+C18</f>
        <v>0</v>
      </c>
      <c r="F20" s="4"/>
    </row>
    <row r="22" spans="1:6" ht="60" customHeight="1" x14ac:dyDescent="0.2">
      <c r="A22" s="88" t="s">
        <v>53</v>
      </c>
      <c r="B22" s="89"/>
      <c r="C22" s="90"/>
      <c r="E22" s="15"/>
      <c r="F22" s="4"/>
    </row>
    <row r="24" spans="1:6" x14ac:dyDescent="0.2">
      <c r="C24" s="2"/>
      <c r="D24" s="2"/>
      <c r="E24" s="2"/>
    </row>
    <row r="25" spans="1:6" x14ac:dyDescent="0.2">
      <c r="A25" s="3"/>
      <c r="B25" s="16"/>
      <c r="C25" s="16"/>
    </row>
    <row r="26" spans="1:6" x14ac:dyDescent="0.2">
      <c r="E26" s="2"/>
    </row>
    <row r="29" spans="1:6" x14ac:dyDescent="0.2">
      <c r="C29" s="2"/>
    </row>
    <row r="30" spans="1:6" x14ac:dyDescent="0.2">
      <c r="C30" s="2"/>
    </row>
    <row r="31" spans="1:6" x14ac:dyDescent="0.2">
      <c r="B31" s="16"/>
      <c r="C31" s="16"/>
    </row>
    <row r="32" spans="1:6" x14ac:dyDescent="0.2">
      <c r="C32" s="2"/>
    </row>
  </sheetData>
  <sheetProtection algorithmName="SHA-512" hashValue="GAAdnjjEoMppyTglmRge2SVSS9sfcOsA6jXvsF0+ac2Ac6hPzC1xG2d9O8vBCn9AwlfMEKezN5cr+pe/Cd+asQ==" saltValue="20/WyhztU63w1ck7WnyQpA==" spinCount="100000" sheet="1" objects="1" scenarios="1"/>
  <dataConsolidate/>
  <mergeCells count="2">
    <mergeCell ref="A5:C5"/>
    <mergeCell ref="A22:C22"/>
  </mergeCells>
  <conditionalFormatting sqref="C18">
    <cfRule type="expression" dxfId="0" priority="1">
      <formula>OR(C19&gt;3,C19&lt;-3)</formula>
    </cfRule>
    <cfRule type="expression" dxfId="1" priority="2">
      <formula>OR($C$38&gt;1.5,$C$38&lt;-1.5)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Personbiler</vt:lpstr>
      <vt:lpstr>Varebiler</vt:lpstr>
      <vt:lpstr>Motorcykler</vt:lpstr>
      <vt:lpstr>Autocamper</vt:lpstr>
      <vt:lpstr>Veteranbiler</vt:lpstr>
      <vt:lpstr>Veteranmotorcykler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Jørgensen</dc:creator>
  <cp:lastModifiedBy>Christian Jørgensen</cp:lastModifiedBy>
  <cp:lastPrinted>2021-04-08T11:27:48Z</cp:lastPrinted>
  <dcterms:created xsi:type="dcterms:W3CDTF">2020-09-16T18:22:04Z</dcterms:created>
  <dcterms:modified xsi:type="dcterms:W3CDTF">2021-04-26T09:08:13Z</dcterms:modified>
</cp:coreProperties>
</file>